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mSwqY5/wfwoc36VMVa1y7UpECkYirmbekmwN+oPbXLWTxIC2qBmkINImL6v9qG0+06pzfSc3Vr4J4rFgd4NtAA==" workbookSaltValue="oTuAxS0mRlZEhmGiQZHf0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M13" i="2"/>
  <c r="N13" i="2"/>
  <c r="AL11" i="11"/>
  <c r="AO9" i="11"/>
  <c r="E11" i="6"/>
  <c r="AC10" i="11"/>
  <c r="H13" i="12"/>
  <c r="AJ19" i="8"/>
  <c r="T13" i="12"/>
  <c r="S19" i="8"/>
  <c r="AY18" i="8"/>
  <c r="BF15" i="8"/>
  <c r="AZ18" i="13"/>
  <c r="BD12" i="8"/>
  <c r="BG15" i="8"/>
  <c r="BD9" i="8"/>
  <c r="BA13"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E18" i="2" l="1"/>
  <c r="AO17" i="11"/>
  <c r="B18" i="2"/>
  <c r="AE19" i="8"/>
  <c r="Y19" i="8"/>
  <c r="L16" i="14"/>
  <c r="BG16" i="8"/>
  <c r="AW18" i="21"/>
  <c r="C19" i="3"/>
  <c r="AB19" i="8"/>
  <c r="Z19" i="8"/>
  <c r="BE12" i="8"/>
  <c r="BG12" i="8"/>
  <c r="H12" i="2"/>
  <c r="C10" i="6"/>
  <c r="BG10" i="8"/>
  <c r="C11" i="6"/>
  <c r="I11" i="12" s="1"/>
  <c r="AO16" i="11"/>
  <c r="AL10" i="11"/>
  <c r="H12" i="7"/>
  <c r="B12" i="6"/>
  <c r="L12" i="14"/>
  <c r="B17" i="6"/>
  <c r="C17" i="6"/>
  <c r="M18" i="2"/>
  <c r="N18" i="2"/>
  <c r="BE12" i="13"/>
  <c r="F16" i="17"/>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K16" i="12" l="1"/>
  <c r="D19" i="5"/>
  <c r="F19" i="7"/>
  <c r="Y13" i="11"/>
  <c r="K10" i="12"/>
  <c r="B19" i="7"/>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<sst xmlns="http://schemas.openxmlformats.org/spreadsheetml/2006/main" count="2102" uniqueCount="918">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</sst>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kso1FtpN4CUu6bu9Op8WJXzwv8j30DZ3SN9WeP5lOKnOUtWA89AZ1lI/OrNePbUyh8WoZRVEZVAq//ZCPVYEw==" saltValue="dIR0ti6EjcP5nmn1GkFa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125</v>
      </c>
      <c r="D10" s="224">
        <f>IF(ISNUMBER(Datos!I10),Datos!I10," - ")</f>
        <v>125</v>
      </c>
      <c r="E10" s="225">
        <f>IF(ISNUMBER(Datos!J10),Datos!J10," - ")</f>
        <v>3</v>
      </c>
      <c r="F10" s="225">
        <f>IF(ISNUMBER(Datos!K10),Datos!K10," - ")</f>
        <v>10</v>
      </c>
      <c r="G10" s="1033" t="str">
        <f>IF(Datos!E10&lt;&gt;"",Datos!E10,Datos!D10)</f>
        <v>37</v>
      </c>
      <c r="H10" s="226">
        <f>IF(ISNUMBER(Datos!L10),Datos!L10," - ")</f>
        <v>118</v>
      </c>
      <c r="I10" s="1043" t="str">
        <f>IF(ISNUMBER(Datos!AS10/Datos!BM10),Datos!AS10/Datos!BM10," - ")</f>
        <v xml:space="preserve"> - </v>
      </c>
      <c r="J10" s="1044">
        <f>IF(ISNUMBER(Datos!BY10/Datos!CN10),Datos!BY10/Datos!CN10," - ")</f>
        <v>0</v>
      </c>
      <c r="K10" s="229">
        <f t="shared" ref="K10:K12" si="1">IF(ISNUMBER((E10-F10)/C10),(E10-F10)/C10," - ")</f>
        <v>-5.6000000000000001E-2</v>
      </c>
      <c r="L10" s="1024">
        <f>IF(ISNUMBER(NºAsuntos!I10/NºAsuntos!G10),(NºAsuntos!I10/NºAsuntos!G10)*11," - ")</f>
        <v>129.80000000000001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83.085832471561531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125</v>
      </c>
      <c r="D13" s="1048">
        <f>SUBTOTAL(9,D9:D12)</f>
        <v>125</v>
      </c>
      <c r="E13" s="1049">
        <f>SUBTOTAL(9,E9:E12)</f>
        <v>3</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3031</v>
      </c>
      <c r="D16" s="224">
        <f>IF(ISNUMBER(IF(D_I="SI",Datos!I16,Datos!I16+Datos!AC16)),IF(D_I="SI",Datos!I16,Datos!I16+Datos!AC16)," - ")</f>
        <v>3027</v>
      </c>
      <c r="E16" s="225">
        <f>IF(ISNUMBER(IF(D_I="SI",Datos!J16,Datos!J16+Datos!AD16)),IF(D_I="SI",Datos!J16,Datos!J16+Datos!AD16)," - ")</f>
        <v>1271</v>
      </c>
      <c r="F16" s="225">
        <f>IF(ISNUMBER(IF(D_I="SI",Datos!K16,Datos!K16+Datos!AE16)),IF(D_I="SI",Datos!K16,Datos!K16+Datos!AE16)," - ")</f>
        <v>1270</v>
      </c>
      <c r="G16" s="1033" t="str">
        <f>IF(Datos!E16&lt;&gt;"",Datos!E16,Datos!D16)</f>
        <v>04</v>
      </c>
      <c r="H16" s="226">
        <f>IF(ISNUMBER(IF(D_I="SI",Datos!L16,Datos!L16+Datos!AF16)),IF(D_I="SI",Datos!L16,Datos!L16+Datos!AF16)," - ")</f>
        <v>3032</v>
      </c>
      <c r="I16" s="1043" t="str">
        <f>IF(ISNUMBER(Datos!AS16/Datos!BM16),Datos!AS16/Datos!BM16," - ")</f>
        <v xml:space="preserve"> - </v>
      </c>
      <c r="J16" s="1044">
        <f>IF(ISNUMBER(Datos!BY16/Datos!CN16),Datos!BY16/Datos!CN16," - ")</f>
        <v>0</v>
      </c>
      <c r="K16" s="229">
        <f t="shared" si="3"/>
        <v>3.2992411745298581E-4</v>
      </c>
      <c r="L16" s="1024">
        <f>IF(ISNUMBER(NºAsuntos!I16/NºAsuntos!G16),(NºAsuntos!I16/NºAsuntos!G16)*11," - ")</f>
        <v>26.261417322834646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84</v>
      </c>
      <c r="D17" s="224">
        <f>IF(ISNUMBER(IF(D_I="SI",Datos!I17,Datos!I17+Datos!AC17)),IF(D_I="SI",Datos!I17,Datos!I17+Datos!AC17)," - ")</f>
        <v>84</v>
      </c>
      <c r="E17" s="225">
        <f>IF(ISNUMBER(IF(D_I="SI",Datos!J17,Datos!J17+Datos!AD17)),IF(D_I="SI",Datos!J17,Datos!J17+Datos!AD17)," - ")</f>
        <v>1</v>
      </c>
      <c r="F17" s="225">
        <f>IF(ISNUMBER(IF(D_I="SI",Datos!K17,Datos!K17+Datos!AE17)),IF(D_I="SI",Datos!K17,Datos!K17+Datos!AE17)," - ")</f>
        <v>16</v>
      </c>
      <c r="G17" s="1033" t="str">
        <f>IF(Datos!E17&lt;&gt;"",Datos!E17,Datos!D17)</f>
        <v>37</v>
      </c>
      <c r="H17" s="226">
        <f>IF(ISNUMBER(IF(D_I="SI",Datos!L17,Datos!L17+Datos!AF17)),IF(D_I="SI",Datos!L17,Datos!L17+Datos!AF17)," - ")</f>
        <v>69</v>
      </c>
      <c r="I17" s="1043" t="str">
        <f>IF(ISNUMBER(Datos!AS17/Datos!BM17),Datos!AS17/Datos!BM17," - ")</f>
        <v xml:space="preserve"> - </v>
      </c>
      <c r="J17" s="1044" t="str">
        <f>IF(ISNUMBER((Datos!BY17+Datos!BZ17)/Datos!CN17),(Datos!BY17+Datos!BZ17)/Datos!CN17," - ")</f>
        <v xml:space="preserve"> - </v>
      </c>
      <c r="K17" s="229">
        <f t="shared" si="3"/>
        <v>-0.17857142857142858</v>
      </c>
      <c r="L17" s="1024">
        <f>IF(ISNUMBER(NºAsuntos!I17/NºAsuntos!G17),(NºAsuntos!I17/NºAsuntos!G17)*11," - ")</f>
        <v>47.4375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3115</v>
      </c>
      <c r="D18" s="1048">
        <f>SUBTOTAL(9,D15:D17)</f>
        <v>3111</v>
      </c>
      <c r="E18" s="1049">
        <f>SUBTOTAL(9,E15:E17)</f>
        <v>1272</v>
      </c>
      <c r="F18" s="1049">
        <f>SUBTOTAL(9,F15:F17)</f>
        <v>1286</v>
      </c>
      <c r="G18" s="1051" t="str">
        <f ca="1">INDIRECT(CONCATENATE("G",ROW()-1))</f>
        <v>37</v>
      </c>
      <c r="H18" s="1052">
        <f ca="1">SUMIF(G$14:G17,G18,H$14:H17)</f>
        <v>69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3240</v>
      </c>
      <c r="D19" s="1070">
        <f>SUBTOTAL(9,D9:D18)</f>
        <v>3236</v>
      </c>
      <c r="E19" s="1071">
        <f>SUBTOTAL(9,E9:E18)</f>
        <v>1275</v>
      </c>
      <c r="F19" s="1071">
        <f>SUBTOTAL(9,F9:F18)</f>
        <v>1296</v>
      </c>
      <c r="G19" s="1072"/>
      <c r="H19" s="1073">
        <f ca="1">SUMIF(B9:B18,"TOTAL",H9:H18)</f>
        <v>69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gzl9eY9txa4bR8kH9DxTOy1HDAf6eFHFH0oNXEwXzZGbe9HIr6MC3FzV66FgmHNWsKdG/HRYVHiu9kjf9Todg==" saltValue="8QPoO8onN/2AUp4nife2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HVp5i89S362Ctn38mEpzgx2BVzITu4ZemoGSDCThEq5nm+EN2g3YROAhwGAYFjEANyqnp2o24mMn7nud9R4DQ==" saltValue="p16q+HvkL4Lq7/o6ylEZ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125</v>
      </c>
      <c r="J10" s="180">
        <v>3</v>
      </c>
      <c r="K10" s="180">
        <v>10</v>
      </c>
      <c r="L10" s="180">
        <v>118</v>
      </c>
      <c r="M10" s="180">
        <v>6</v>
      </c>
      <c r="N10" s="180">
        <v>1</v>
      </c>
      <c r="O10" s="180">
        <v>0</v>
      </c>
      <c r="P10" s="180">
        <v>0</v>
      </c>
      <c r="Q10" s="180">
        <v>0</v>
      </c>
      <c r="R10" s="180">
        <v>46</v>
      </c>
      <c r="S10" s="180">
        <v>199</v>
      </c>
      <c r="T10" s="180">
        <v>12</v>
      </c>
      <c r="U10" s="180">
        <v>30</v>
      </c>
      <c r="V10" s="180">
        <v>181</v>
      </c>
      <c r="W10" s="180">
        <v>13</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199</v>
      </c>
      <c r="AZ10" s="129">
        <f t="shared" si="0"/>
        <v>12</v>
      </c>
      <c r="BA10" s="129">
        <f t="shared" si="0"/>
        <v>30</v>
      </c>
      <c r="BB10" s="129">
        <f t="shared" si="0"/>
        <v>181</v>
      </c>
      <c r="BC10" s="125">
        <f t="shared" si="0"/>
        <v>13</v>
      </c>
      <c r="BD10" s="126">
        <f>IF(ISNUMBER(BA10/AZ10),BA10/AZ10," - ")</f>
        <v>2.5</v>
      </c>
      <c r="BE10" s="127">
        <f>IF(ISNUMBER(BB10/BA10),BB10/BA10, " - ")</f>
        <v>6.0333333333333332</v>
      </c>
      <c r="BF10" s="127">
        <f>IF(ISNUMBER(BC10/BA10),BC10/BA10, " - ")</f>
        <v>0.43333333333333335</v>
      </c>
      <c r="BG10" s="195">
        <f>IF(ISNUMBER((AY10+AZ10)/BA10),(AY10+AZ10)/BA10," - ")</f>
        <v>7.0333333333333332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7514</v>
      </c>
      <c r="J12" s="182">
        <v>865</v>
      </c>
      <c r="K12" s="182">
        <v>943</v>
      </c>
      <c r="L12" s="182">
        <v>7180</v>
      </c>
      <c r="M12" s="182">
        <v>320</v>
      </c>
      <c r="N12" s="182">
        <v>355</v>
      </c>
      <c r="O12" s="180">
        <v>493</v>
      </c>
      <c r="P12" s="182">
        <v>376</v>
      </c>
      <c r="Q12" s="182">
        <v>249</v>
      </c>
      <c r="R12" s="182">
        <v>8915</v>
      </c>
      <c r="S12" s="182">
        <v>5766</v>
      </c>
      <c r="T12" s="182">
        <v>1355</v>
      </c>
      <c r="U12" s="182">
        <v>1338</v>
      </c>
      <c r="V12" s="182">
        <v>5783</v>
      </c>
      <c r="W12" s="182">
        <v>307</v>
      </c>
      <c r="X12" s="188">
        <v>573</v>
      </c>
      <c r="Y12" s="190">
        <v>104</v>
      </c>
      <c r="Z12" s="180">
        <v>44</v>
      </c>
      <c r="AA12" s="180">
        <v>24</v>
      </c>
      <c r="AB12" s="180">
        <v>124</v>
      </c>
      <c r="AC12" s="182">
        <v>0</v>
      </c>
      <c r="AD12" s="182">
        <v>0</v>
      </c>
      <c r="AE12" s="182">
        <v>0</v>
      </c>
      <c r="AF12" s="188">
        <v>0</v>
      </c>
      <c r="AG12" s="201">
        <v>96</v>
      </c>
      <c r="AH12" s="182">
        <v>26</v>
      </c>
      <c r="AI12" s="182">
        <v>28</v>
      </c>
      <c r="AJ12" s="202">
        <v>94</v>
      </c>
      <c r="AK12" s="181">
        <v>0</v>
      </c>
      <c r="AL12" s="182">
        <v>0</v>
      </c>
      <c r="AM12" s="182">
        <v>0</v>
      </c>
      <c r="AN12" s="188">
        <v>0</v>
      </c>
      <c r="AO12" s="258">
        <v>7</v>
      </c>
      <c r="AP12" s="154">
        <v>7</v>
      </c>
      <c r="AQ12" s="154">
        <v>7</v>
      </c>
      <c r="AR12" s="153">
        <v>7</v>
      </c>
      <c r="AS12" s="339" t="s">
        <v>794</v>
      </c>
      <c r="AT12" s="202"/>
      <c r="AU12" s="201"/>
      <c r="AV12" s="202"/>
      <c r="AW12" s="201"/>
      <c r="AX12" s="202"/>
      <c r="AY12" s="126">
        <f t="shared" si="1"/>
        <v>5862</v>
      </c>
      <c r="AZ12" s="127">
        <f t="shared" si="1"/>
        <v>1381</v>
      </c>
      <c r="BA12" s="127">
        <f t="shared" si="1"/>
        <v>1366</v>
      </c>
      <c r="BB12" s="127">
        <f t="shared" si="1"/>
        <v>5877</v>
      </c>
      <c r="BC12" s="125">
        <f>IF(ISNUMBER(X12),X12," - ")</f>
        <v>573</v>
      </c>
      <c r="BD12" s="126">
        <f t="shared" si="2"/>
        <v>0.98913830557566984</v>
      </c>
      <c r="BE12" s="127">
        <f t="shared" si="3"/>
        <v>4.3023426061493408</v>
      </c>
      <c r="BF12" s="127">
        <f t="shared" si="4"/>
        <v>0.41947291361639827</v>
      </c>
      <c r="BG12" s="195">
        <f t="shared" si="5"/>
        <v>5.3023426061493408</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7639</v>
      </c>
      <c r="J13" s="183">
        <f t="shared" si="6"/>
        <v>868</v>
      </c>
      <c r="K13" s="183">
        <f t="shared" si="6"/>
        <v>953</v>
      </c>
      <c r="L13" s="183">
        <f t="shared" si="6"/>
        <v>7298</v>
      </c>
      <c r="M13" s="183">
        <f t="shared" si="6"/>
        <v>326</v>
      </c>
      <c r="N13" s="183">
        <f t="shared" si="6"/>
        <v>356</v>
      </c>
      <c r="O13" s="183">
        <f t="shared" si="6"/>
        <v>493</v>
      </c>
      <c r="P13" s="183">
        <f t="shared" si="6"/>
        <v>376</v>
      </c>
      <c r="Q13" s="183">
        <f t="shared" si="6"/>
        <v>249</v>
      </c>
      <c r="R13" s="183">
        <f t="shared" si="6"/>
        <v>8961</v>
      </c>
      <c r="S13" s="183">
        <f t="shared" si="6"/>
        <v>5965</v>
      </c>
      <c r="T13" s="183">
        <f t="shared" si="6"/>
        <v>1367</v>
      </c>
      <c r="U13" s="183">
        <f t="shared" si="6"/>
        <v>1368</v>
      </c>
      <c r="V13" s="183">
        <f t="shared" si="6"/>
        <v>5964</v>
      </c>
      <c r="W13" s="183">
        <f t="shared" si="6"/>
        <v>320</v>
      </c>
      <c r="X13" s="183">
        <f t="shared" si="6"/>
        <v>581</v>
      </c>
      <c r="Y13" s="183">
        <f t="shared" si="6"/>
        <v>104</v>
      </c>
      <c r="Z13" s="183">
        <f t="shared" si="6"/>
        <v>44</v>
      </c>
      <c r="AA13" s="183">
        <f t="shared" si="6"/>
        <v>24</v>
      </c>
      <c r="AB13" s="183">
        <f t="shared" si="6"/>
        <v>124</v>
      </c>
      <c r="AC13" s="183">
        <f t="shared" si="6"/>
        <v>0</v>
      </c>
      <c r="AD13" s="183">
        <f t="shared" si="6"/>
        <v>0</v>
      </c>
      <c r="AE13" s="183">
        <f t="shared" si="6"/>
        <v>0</v>
      </c>
      <c r="AF13" s="183">
        <f>SUBTOTAL(9,AF9:AF12)</f>
        <v>0</v>
      </c>
      <c r="AG13" s="183">
        <f t="shared" ref="AG13:AT13" si="7">SUBTOTAL(9,AG8:AG12)</f>
        <v>96</v>
      </c>
      <c r="AH13" s="183">
        <f t="shared" si="7"/>
        <v>26</v>
      </c>
      <c r="AI13" s="183">
        <f t="shared" si="7"/>
        <v>28</v>
      </c>
      <c r="AJ13" s="183">
        <f t="shared" si="7"/>
        <v>94</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6061</v>
      </c>
      <c r="AZ13" s="183">
        <f>SUBTOTAL(9,AZ8:AZ12)</f>
        <v>1393</v>
      </c>
      <c r="BA13" s="183">
        <f>SUBTOTAL(9,BA8:BA12)</f>
        <v>1396</v>
      </c>
      <c r="BB13" s="183">
        <f>SUBTOTAL(9,BB8:BB12)</f>
        <v>6058</v>
      </c>
      <c r="BC13" s="183">
        <f>SUBTOTAL(9,BC8:BC12)</f>
        <v>586</v>
      </c>
      <c r="BD13" s="204">
        <f>IF(ISNUMBER(BA13/AZ13),BA13/AZ13," - ")</f>
        <v>1.0021536252692032</v>
      </c>
      <c r="BE13" s="205">
        <f>IF(ISNUMBER(BB13/BA13),BB13/BA13, " - ")</f>
        <v>4.3395415472779373</v>
      </c>
      <c r="BF13" s="205">
        <f>IF(ISNUMBER(BC13/BA13),BC13/BA13, " - ")</f>
        <v>0.41977077363896848</v>
      </c>
      <c r="BG13" s="206">
        <f>IF(ISNUMBER((AY13+AZ13)/BA13),(AY13+AZ13)/BA13," - ")</f>
        <v>5.3395415472779373</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3027</v>
      </c>
      <c r="J16" s="182">
        <v>1271</v>
      </c>
      <c r="K16" s="182">
        <v>1270</v>
      </c>
      <c r="L16" s="182">
        <v>3032</v>
      </c>
      <c r="M16" s="182">
        <v>178</v>
      </c>
      <c r="N16" s="182">
        <v>907</v>
      </c>
      <c r="O16" s="180">
        <v>38</v>
      </c>
      <c r="P16" s="182">
        <v>29</v>
      </c>
      <c r="Q16" s="182">
        <v>87</v>
      </c>
      <c r="R16" s="182">
        <v>218</v>
      </c>
      <c r="S16" s="182">
        <v>2453</v>
      </c>
      <c r="T16" s="182">
        <v>1404</v>
      </c>
      <c r="U16" s="182">
        <v>1241</v>
      </c>
      <c r="V16" s="182">
        <v>2617</v>
      </c>
      <c r="W16" s="182">
        <v>194</v>
      </c>
      <c r="X16" s="188">
        <v>836</v>
      </c>
      <c r="Y16" s="201">
        <v>0</v>
      </c>
      <c r="Z16" s="182">
        <v>0</v>
      </c>
      <c r="AA16" s="182">
        <v>0</v>
      </c>
      <c r="AB16" s="182">
        <v>0</v>
      </c>
      <c r="AC16" s="182">
        <v>0</v>
      </c>
      <c r="AD16" s="182">
        <v>5</v>
      </c>
      <c r="AE16" s="182">
        <v>3</v>
      </c>
      <c r="AF16" s="188">
        <v>2</v>
      </c>
      <c r="AG16" s="201">
        <v>0</v>
      </c>
      <c r="AH16" s="182">
        <v>0</v>
      </c>
      <c r="AI16" s="182">
        <v>0</v>
      </c>
      <c r="AJ16" s="202">
        <v>0</v>
      </c>
      <c r="AK16" s="181">
        <v>0</v>
      </c>
      <c r="AL16" s="182">
        <v>2</v>
      </c>
      <c r="AM16" s="182">
        <v>2</v>
      </c>
      <c r="AN16" s="188">
        <v>0</v>
      </c>
      <c r="AO16" s="258">
        <v>7</v>
      </c>
      <c r="AP16" s="154">
        <v>7</v>
      </c>
      <c r="AQ16" s="154">
        <v>7</v>
      </c>
      <c r="AR16" s="154">
        <v>7</v>
      </c>
      <c r="AS16" s="339" t="s">
        <v>487</v>
      </c>
      <c r="AT16" s="202"/>
      <c r="AU16" s="201"/>
      <c r="AV16" s="202"/>
      <c r="AW16" s="201"/>
      <c r="AX16" s="202"/>
      <c r="AY16" s="126">
        <f t="shared" si="9"/>
        <v>2453</v>
      </c>
      <c r="AZ16" s="127">
        <f t="shared" si="9"/>
        <v>1404</v>
      </c>
      <c r="BA16" s="127">
        <f t="shared" si="9"/>
        <v>1241</v>
      </c>
      <c r="BB16" s="127">
        <f t="shared" si="9"/>
        <v>2617</v>
      </c>
      <c r="BC16" s="125">
        <f>IF(ISNUMBER(W16),W16," - ")</f>
        <v>194</v>
      </c>
      <c r="BD16" s="126">
        <f t="shared" ref="BD16" si="11">IF(ISNUMBER(BA16/AZ16),BA16/AZ16," - ")</f>
        <v>0.88390313390313391</v>
      </c>
      <c r="BE16" s="127">
        <f t="shared" ref="BE16" si="12">IF(ISNUMBER(BB16/BA16),BB16/BA16, " - ")</f>
        <v>2.1087832393231265</v>
      </c>
      <c r="BF16" s="127">
        <f t="shared" ref="BF16" si="13">IF(ISNUMBER(BC16/BA16),BC16/BA16, " - ")</f>
        <v>0.1563255439161966</v>
      </c>
      <c r="BG16" s="195">
        <f t="shared" si="10"/>
        <v>3.1079774375503626</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84</v>
      </c>
      <c r="J17" s="182">
        <v>1</v>
      </c>
      <c r="K17" s="182">
        <v>16</v>
      </c>
      <c r="L17" s="182">
        <v>69</v>
      </c>
      <c r="M17" s="182">
        <v>0</v>
      </c>
      <c r="N17" s="182">
        <v>11</v>
      </c>
      <c r="O17" s="182">
        <v>0</v>
      </c>
      <c r="P17" s="182">
        <v>0</v>
      </c>
      <c r="Q17" s="182">
        <v>0</v>
      </c>
      <c r="R17" s="182">
        <v>0</v>
      </c>
      <c r="S17" s="182">
        <v>204</v>
      </c>
      <c r="T17" s="182">
        <v>16</v>
      </c>
      <c r="U17" s="182">
        <v>48</v>
      </c>
      <c r="V17" s="182">
        <v>172</v>
      </c>
      <c r="W17" s="182">
        <v>0</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204</v>
      </c>
      <c r="AZ17" s="129">
        <f t="shared" si="14"/>
        <v>16</v>
      </c>
      <c r="BA17" s="129">
        <f t="shared" si="14"/>
        <v>48</v>
      </c>
      <c r="BB17" s="129">
        <f t="shared" si="14"/>
        <v>172</v>
      </c>
      <c r="BC17" s="125">
        <f>IF(ISNUMBER(W17),W17," - ")</f>
        <v>0</v>
      </c>
      <c r="BD17" s="126">
        <f>IF(ISNUMBER(BA17/AZ17),BA17/AZ17," - ")</f>
        <v>3</v>
      </c>
      <c r="BE17" s="127">
        <f>IF(ISNUMBER(BB17/BA17),BB17/BA17, " - ")</f>
        <v>3.5833333333333335</v>
      </c>
      <c r="BF17" s="127">
        <f>IF(ISNUMBER(BC17/BA17),BC17/BA17, " - ")</f>
        <v>0</v>
      </c>
      <c r="BG17" s="195">
        <f>IF(ISNUMBER((AY17+AZ17)/BA17),(AY17+AZ17)/BA17," - ")</f>
        <v>4.583333333333333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3111</v>
      </c>
      <c r="J18" s="183">
        <f t="shared" si="15"/>
        <v>1272</v>
      </c>
      <c r="K18" s="183">
        <f t="shared" si="15"/>
        <v>1286</v>
      </c>
      <c r="L18" s="183">
        <f t="shared" si="15"/>
        <v>3101</v>
      </c>
      <c r="M18" s="183">
        <f t="shared" si="15"/>
        <v>178</v>
      </c>
      <c r="N18" s="183">
        <f t="shared" si="15"/>
        <v>918</v>
      </c>
      <c r="O18" s="183">
        <f t="shared" si="15"/>
        <v>38</v>
      </c>
      <c r="P18" s="183">
        <f t="shared" si="15"/>
        <v>29</v>
      </c>
      <c r="Q18" s="183">
        <f t="shared" si="15"/>
        <v>87</v>
      </c>
      <c r="R18" s="183">
        <f t="shared" si="15"/>
        <v>218</v>
      </c>
      <c r="S18" s="183">
        <f t="shared" si="15"/>
        <v>2657</v>
      </c>
      <c r="T18" s="183">
        <f t="shared" si="15"/>
        <v>1420</v>
      </c>
      <c r="U18" s="183">
        <f t="shared" si="15"/>
        <v>1289</v>
      </c>
      <c r="V18" s="183">
        <f t="shared" si="15"/>
        <v>2789</v>
      </c>
      <c r="W18" s="183">
        <f t="shared" si="15"/>
        <v>194</v>
      </c>
      <c r="X18" s="183">
        <f t="shared" si="15"/>
        <v>859</v>
      </c>
      <c r="Y18" s="183">
        <f t="shared" si="15"/>
        <v>0</v>
      </c>
      <c r="Z18" s="183">
        <f t="shared" si="15"/>
        <v>0</v>
      </c>
      <c r="AA18" s="183">
        <f t="shared" si="15"/>
        <v>0</v>
      </c>
      <c r="AB18" s="183">
        <f t="shared" si="15"/>
        <v>0</v>
      </c>
      <c r="AC18" s="183">
        <f t="shared" si="15"/>
        <v>0</v>
      </c>
      <c r="AD18" s="183">
        <f t="shared" si="15"/>
        <v>5</v>
      </c>
      <c r="AE18" s="183">
        <f t="shared" si="15"/>
        <v>3</v>
      </c>
      <c r="AF18" s="183">
        <f t="shared" si="15"/>
        <v>2</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2657</v>
      </c>
      <c r="AZ18" s="183">
        <f>SUBTOTAL(9,AZ14:AZ17)</f>
        <v>1420</v>
      </c>
      <c r="BA18" s="183">
        <f>SUBTOTAL(9,BA14:BA17)</f>
        <v>1289</v>
      </c>
      <c r="BB18" s="183">
        <f>SUBTOTAL(9,BB14:BB17)</f>
        <v>2789</v>
      </c>
      <c r="BC18" s="183">
        <f>SUBTOTAL(9,BC14:BC17)</f>
        <v>194</v>
      </c>
      <c r="BD18" s="204">
        <f>IF(ISNUMBER(BA18/AZ18),BA18/AZ18," - ")</f>
        <v>0.90774647887323945</v>
      </c>
      <c r="BE18" s="205">
        <f>IF(ISNUMBER(BB18/BA18),BB18/BA18, " - ")</f>
        <v>2.1636927851047325</v>
      </c>
      <c r="BF18" s="205">
        <f>IF(ISNUMBER(BC18/BA18),BC18/BA18, " - ")</f>
        <v>0.15050426687354537</v>
      </c>
      <c r="BG18" s="206">
        <f>IF(ISNUMBER((AY18+AZ18)/BA18),(AY18+AZ18)/BA18," - ")</f>
        <v>3.1629169899146627</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10750</v>
      </c>
      <c r="J19" s="134">
        <f t="shared" si="18"/>
        <v>2140</v>
      </c>
      <c r="K19" s="134">
        <f t="shared" si="18"/>
        <v>2239</v>
      </c>
      <c r="L19" s="134">
        <f t="shared" si="18"/>
        <v>10399</v>
      </c>
      <c r="M19" s="134">
        <f t="shared" si="18"/>
        <v>504</v>
      </c>
      <c r="N19" s="134">
        <f t="shared" si="18"/>
        <v>1274</v>
      </c>
      <c r="O19" s="134">
        <f t="shared" si="18"/>
        <v>531</v>
      </c>
      <c r="P19" s="134">
        <f t="shared" si="18"/>
        <v>405</v>
      </c>
      <c r="Q19" s="134">
        <f t="shared" si="18"/>
        <v>336</v>
      </c>
      <c r="R19" s="134">
        <f t="shared" si="18"/>
        <v>9179</v>
      </c>
      <c r="S19" s="134">
        <f t="shared" si="18"/>
        <v>8622</v>
      </c>
      <c r="T19" s="134">
        <f t="shared" si="18"/>
        <v>2787</v>
      </c>
      <c r="U19" s="134">
        <f t="shared" si="18"/>
        <v>2657</v>
      </c>
      <c r="V19" s="134">
        <f t="shared" si="18"/>
        <v>8753</v>
      </c>
      <c r="W19" s="134">
        <f t="shared" si="18"/>
        <v>514</v>
      </c>
      <c r="X19" s="134">
        <f t="shared" si="18"/>
        <v>1440</v>
      </c>
      <c r="Y19" s="134">
        <f t="shared" si="18"/>
        <v>104</v>
      </c>
      <c r="Z19" s="134">
        <f t="shared" si="18"/>
        <v>44</v>
      </c>
      <c r="AA19" s="134">
        <f t="shared" si="18"/>
        <v>24</v>
      </c>
      <c r="AB19" s="134">
        <f t="shared" si="18"/>
        <v>124</v>
      </c>
      <c r="AC19" s="134">
        <f t="shared" si="18"/>
        <v>0</v>
      </c>
      <c r="AD19" s="134">
        <f t="shared" si="18"/>
        <v>5</v>
      </c>
      <c r="AE19" s="134">
        <f t="shared" si="18"/>
        <v>3</v>
      </c>
      <c r="AF19" s="134">
        <f t="shared" si="18"/>
        <v>2</v>
      </c>
      <c r="AG19" s="134">
        <f t="shared" si="18"/>
        <v>96</v>
      </c>
      <c r="AH19" s="134">
        <f t="shared" si="18"/>
        <v>26</v>
      </c>
      <c r="AI19" s="134">
        <f t="shared" si="18"/>
        <v>28</v>
      </c>
      <c r="AJ19" s="134">
        <f t="shared" si="18"/>
        <v>94</v>
      </c>
      <c r="AK19" s="134">
        <f t="shared" si="18"/>
        <v>0</v>
      </c>
      <c r="AL19" s="134">
        <f t="shared" si="18"/>
        <v>2</v>
      </c>
      <c r="AM19" s="134">
        <f t="shared" si="18"/>
        <v>2</v>
      </c>
      <c r="AN19" s="209">
        <f t="shared" si="18"/>
        <v>0</v>
      </c>
      <c r="AO19" s="210">
        <v>8</v>
      </c>
      <c r="AP19" s="210">
        <v>7</v>
      </c>
      <c r="AQ19" s="210">
        <v>7</v>
      </c>
      <c r="AR19" s="210">
        <v>7</v>
      </c>
      <c r="AS19" s="152">
        <f t="shared" si="18"/>
        <v>0</v>
      </c>
      <c r="AT19" s="152">
        <f t="shared" si="18"/>
        <v>0</v>
      </c>
      <c r="AU19" s="210"/>
      <c r="AV19" s="211"/>
      <c r="AW19" s="210"/>
      <c r="AX19" s="211"/>
      <c r="AY19" s="133">
        <f>SUBTOTAL(9,AY9:AY18)</f>
        <v>8718</v>
      </c>
      <c r="AZ19" s="134">
        <f>SUBTOTAL(9,AZ9:AZ18)</f>
        <v>2813</v>
      </c>
      <c r="BA19" s="134">
        <f>SUBTOTAL(9,BA9:BA18)</f>
        <v>2685</v>
      </c>
      <c r="BB19" s="134">
        <f>SUBTOTAL(9,BB9:BB18)</f>
        <v>8847</v>
      </c>
      <c r="BC19" s="135">
        <f>SUBTOTAL(9,BC9:BC18)</f>
        <v>780</v>
      </c>
      <c r="BD19" s="212">
        <f>IF(ISNUMBER(BA19/AZ19),BA19/AZ19," - ")</f>
        <v>0.95449697831496627</v>
      </c>
      <c r="BE19" s="209">
        <f>IF(ISNUMBER(BB19/BA19),BB19/BA19, " - ")</f>
        <v>3.2949720670391063</v>
      </c>
      <c r="BF19" s="209">
        <f>IF(ISNUMBER(BC19/BA19),BC19/BA19, " - ")</f>
        <v>0.29050279329608941</v>
      </c>
      <c r="BG19" s="135">
        <f>IF(ISNUMBER((AY19+AZ19)/BA19),(AY19+AZ19)/BA19," - ")</f>
        <v>4.2945996275605216</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II65LuarLx/KcbJ427sir6xyyr7kvNr6CA33a2nDNk8Op/DEdrZloFCzCq9iEEskyRlo3KFU1iuyfkB+virhA==" saltValue="74RItxtY55SehLCbUOYi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4plzZxCpyyNLZLQtJenLrQXTSGh5394ujWeuo4jc2sVMjWdysFBmgTPJvGrHC3QpaifBRVxGVQRirdySnf5IA==" saltValue="KYRvayBShjJCbt+oyqfO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ROQUETAS DE MAR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125</v>
      </c>
      <c r="G10" s="332">
        <f>IF(ISNUMBER(Datos!I10),Datos!I10," - ")</f>
        <v>125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118</v>
      </c>
      <c r="AG10" s="333"/>
      <c r="AH10" s="333"/>
      <c r="AI10" s="333"/>
      <c r="AJ10" s="333"/>
      <c r="AK10" s="333"/>
      <c r="AL10" s="478"/>
      <c r="AM10" s="334">
        <f>IF(ISNUMBER(Datos!R10),Datos!R10," - ")</f>
        <v>46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1</v>
      </c>
      <c r="BE10" s="228" t="str">
        <f>IF(ISNUMBER(Datos!BW10),Datos!BW10," - ")</f>
        <v xml:space="preserve"> - </v>
      </c>
      <c r="BF10" s="227" t="str">
        <f>IF(ISNUMBER(Datos!BX10),Datos!BX10," - ")</f>
        <v xml:space="preserve"> - </v>
      </c>
      <c r="BG10" s="242">
        <f>IF(ISNUMBER(Datos!K10/Datos!J10),Datos!K10/Datos!J10," - ")</f>
        <v>3.3333333333333335</v>
      </c>
      <c r="BH10" s="259">
        <f>IF(ISNUMBER(((Datos!L10/Datos!K10)*11)/factor_trimestre),((Datos!L10/Datos!K10)*11)/factor_trimestre," - ")</f>
        <v>23.6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376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124</v>
      </c>
      <c r="AI12" s="333" t="str">
        <f>IF(ISNUMBER(Datos!CD12),Datos!CD12,"-")</f>
        <v>-</v>
      </c>
      <c r="AJ12" s="333" t="str">
        <f>IF(ISNUMBER(Datos!EN12),Datos!EN12," - ")</f>
        <v xml:space="preserve"> - </v>
      </c>
      <c r="AK12" s="333"/>
      <c r="AL12" s="478"/>
      <c r="AM12" s="334">
        <f>IF(ISNUMBER(Datos!R12),Datos!R12," - ")</f>
        <v>8915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320</v>
      </c>
      <c r="BD12" s="228">
        <f>IF(ISNUMBER(Datos!N12),Datos!N12," - ")</f>
        <v>355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1.0638063806380638</v>
      </c>
      <c r="BH12" s="259">
        <f>IF(ISNUMBER(((IF(J_V="SI",Datos!L12/Datos!K12,(Datos!L12+Datos!AB12)/(Datos!K12+Datos!AA12)))*11)/factor_trimestre),((IF(J_V="SI",Datos!L12/Datos!K12,(Datos!L12+Datos!AB12)/(Datos!K12+Datos!AA12)))*11)/factor_trimestre," - ")</f>
        <v>15.10651499482937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1.4451524806554393E-2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125</v>
      </c>
      <c r="G13" s="897">
        <f t="shared" si="0"/>
        <v>125</v>
      </c>
      <c r="H13" s="898">
        <f t="shared" si="0"/>
        <v>0</v>
      </c>
      <c r="I13" s="897">
        <f t="shared" si="0"/>
        <v>0</v>
      </c>
      <c r="J13" s="866">
        <f t="shared" si="0"/>
        <v>0</v>
      </c>
      <c r="K13" s="866">
        <f t="shared" si="0"/>
        <v>0</v>
      </c>
      <c r="L13" s="898">
        <f t="shared" si="0"/>
        <v>0</v>
      </c>
      <c r="M13" s="898">
        <f t="shared" si="0"/>
        <v>0</v>
      </c>
      <c r="N13" s="898">
        <f t="shared" si="0"/>
        <v>44</v>
      </c>
      <c r="O13" s="899">
        <f t="shared" si="0"/>
        <v>0</v>
      </c>
      <c r="P13" s="899">
        <f t="shared" si="0"/>
        <v>0</v>
      </c>
      <c r="Q13" s="898">
        <f t="shared" si="0"/>
        <v>376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249</v>
      </c>
      <c r="AD13" s="898">
        <f t="shared" si="1"/>
        <v>0</v>
      </c>
      <c r="AE13" s="898">
        <f t="shared" si="1"/>
        <v>0</v>
      </c>
      <c r="AF13" s="898">
        <f t="shared" si="1"/>
        <v>118</v>
      </c>
      <c r="AG13" s="898">
        <f t="shared" si="1"/>
        <v>0</v>
      </c>
      <c r="AH13" s="898">
        <f t="shared" si="1"/>
        <v>124</v>
      </c>
      <c r="AI13" s="898">
        <f t="shared" si="1"/>
        <v>0</v>
      </c>
      <c r="AJ13" s="898">
        <f t="shared" si="1"/>
        <v>0</v>
      </c>
      <c r="AK13" s="898">
        <f t="shared" si="1"/>
        <v>0</v>
      </c>
      <c r="AL13" s="898">
        <f t="shared" si="1"/>
        <v>0</v>
      </c>
      <c r="AM13" s="898">
        <f t="shared" si="1"/>
        <v>8961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326</v>
      </c>
      <c r="BD13" s="898">
        <f t="shared" si="1"/>
        <v>356</v>
      </c>
      <c r="BE13" s="898">
        <f t="shared" si="1"/>
        <v>0</v>
      </c>
      <c r="BF13" s="898">
        <f t="shared" si="1"/>
        <v>0</v>
      </c>
      <c r="BG13" s="898">
        <f>IF(ISNUMBER(Datos!K13/Datos!J13),Datos!K13/Datos!J13," - ")</f>
        <v>1.0979262672811061</v>
      </c>
      <c r="BH13" s="902">
        <f>IF(ISNUMBER(((Datos!L13/Datos!K13)*11)/factor_trimestre),((Datos!L13/Datos!K13)*11)/factor_trimestre," - ")</f>
        <v>15.315844700944384</v>
      </c>
      <c r="BI13" s="898">
        <f>IF(ISNUMBER('Resol  Asuntos'!D13/NºAsuntos!G13),'Resol  Asuntos'!D13/NºAsuntos!G13," - ")</f>
        <v>0.3336745138178096</v>
      </c>
      <c r="BJ13" s="898" t="str">
        <f>IF(ISNUMBER(Datos!CI13/Datos!CJ13),Datos!CI13/Datos!CJ13," - ")</f>
        <v xml:space="preserve"> - </v>
      </c>
      <c r="BK13" s="898">
        <f>SUBTOTAL(9,BK8:BK12)</f>
        <v>0</v>
      </c>
      <c r="BL13" s="898">
        <f>IF(ISNUMBER((I13-AB13+L13)/(F13)),(I13-AB13+L13)/(F13)," - ")</f>
        <v>-0.08</v>
      </c>
      <c r="BM13" s="903">
        <f>SUBTOTAL(9,BM9:BM12)</f>
        <v>1.4451524806554393E-2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3031</v>
      </c>
      <c r="G16" s="597">
        <f>IF(ISNUMBER(IF(D_I="SI",Datos!I16,Datos!I16+Datos!AC16)),IF(D_I="SI",Datos!I16,Datos!I16+Datos!AC16)," - ")</f>
        <v>3027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1270</v>
      </c>
      <c r="AC16" s="225">
        <f>IF(ISNUMBER(Datos!Q16),Datos!Q16," - ")</f>
        <v>87</v>
      </c>
      <c r="AD16" s="333"/>
      <c r="AE16" s="483"/>
      <c r="AF16" s="595">
        <f>IF(ISNUMBER(IF(D_I="SI",Datos!L16,Datos!L16+Datos!AF16)),IF(D_I="SI",Datos!L16,Datos!L16+Datos!AF16)," - ")</f>
        <v>3032</v>
      </c>
      <c r="AG16" s="333"/>
      <c r="AH16" s="333"/>
      <c r="AI16" s="333"/>
      <c r="AJ16" s="333"/>
      <c r="AK16" s="333"/>
      <c r="AL16" s="478"/>
      <c r="AM16" s="334">
        <f>IF(ISNUMBER(Datos!R16),Datos!R16," - ")</f>
        <v>218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178</v>
      </c>
      <c r="BD16" s="228">
        <f>IF(ISNUMBER(Datos!N16),Datos!N16," - ")</f>
        <v>907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0.99921321793863105</v>
      </c>
      <c r="BH16" s="259">
        <f>IF(ISNUMBER(((IF(D_I="SI",Datos!L16/Datos!K16,(Datos!L16+Datos!AF16)/(Datos!K16+Datos!AE16)))*11)/factor_trimestre),((IF(D_I="SI",Datos!L16/Datos!K16,(Datos!L16+Datos!AF16)/(Datos!K16+Datos!AE16)))*11)/factor_trimestre," - ")</f>
        <v>4.7748031496062993</v>
      </c>
      <c r="BI16" s="242">
        <f>IF(ISNUMBER('Resol  Asuntos'!D16/NºAsuntos!G16),'Resol  Asuntos'!D16/NºAsuntos!G16," - ")</f>
        <v>0.14015748031496064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69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16</v>
      </c>
      <c r="BH17" s="259">
        <f>IF(ISNUMBER(((IF(D_I="SI",Datos!L17/Datos!K17,(Datos!L17+Datos!AF17)/(Datos!K17+Datos!AE17)))*11)/factor_trimestre),((IF(D_I="SI",Datos!L17/Datos!K17,(Datos!L17+Datos!AF17)/(Datos!K17+Datos!AE17)))*11)/factor_trimestre," - ")</f>
        <v>8.625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3031</v>
      </c>
      <c r="G18" s="897">
        <f>SUBTOTAL(9,G15:G17)</f>
        <v>3111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1286</v>
      </c>
      <c r="AC18" s="898">
        <f t="shared" si="4"/>
        <v>87</v>
      </c>
      <c r="AD18" s="898">
        <f t="shared" si="4"/>
        <v>0</v>
      </c>
      <c r="AE18" s="898">
        <f t="shared" si="4"/>
        <v>0</v>
      </c>
      <c r="AF18" s="898">
        <f t="shared" si="4"/>
        <v>3101</v>
      </c>
      <c r="AG18" s="898">
        <f t="shared" si="4"/>
        <v>0</v>
      </c>
      <c r="AH18" s="898">
        <f t="shared" si="4"/>
        <v>0</v>
      </c>
      <c r="AI18" s="898">
        <f t="shared" si="4"/>
        <v>0</v>
      </c>
      <c r="AJ18" s="898">
        <f t="shared" si="4"/>
        <v>0</v>
      </c>
      <c r="AK18" s="898">
        <f t="shared" si="4"/>
        <v>0</v>
      </c>
      <c r="AL18" s="898">
        <f t="shared" si="4"/>
        <v>0</v>
      </c>
      <c r="AM18" s="898">
        <f t="shared" si="4"/>
        <v>218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178</v>
      </c>
      <c r="BD18" s="898">
        <f t="shared" si="4"/>
        <v>918</v>
      </c>
      <c r="BE18" s="898">
        <f t="shared" si="4"/>
        <v>0</v>
      </c>
      <c r="BF18" s="898">
        <f t="shared" si="4"/>
        <v>0</v>
      </c>
      <c r="BG18" s="898">
        <f>IF(ISNUMBER(Datos!K18/Datos!J18),Datos!K18/Datos!J18," - ")</f>
        <v>1.0110062893081762</v>
      </c>
      <c r="BH18" s="902">
        <f>IF(ISNUMBER(((Datos!L18/Datos!K18)*11)/factor_trimestre),((Datos!L18/Datos!K18)*11)/factor_trimestre," - ")</f>
        <v>4.8227060653188181</v>
      </c>
      <c r="BI18" s="898">
        <f>SUBTOTAL(9,BI15:BI17)</f>
        <v>0.14015748031496064</v>
      </c>
      <c r="BJ18" s="898">
        <f>SUBTOTAL(9,BJ15:BJ17)</f>
        <v>0</v>
      </c>
      <c r="BK18" s="898">
        <f>SUBTOTAL(9,BK15:BK17)</f>
        <v>0</v>
      </c>
      <c r="BL18" s="898">
        <f>IF(ISNUMBER((I18-AB18+L18)/(F18)),(I18-AB18+L18)/(F18)," - ")</f>
        <v>-0.42428241504453973</v>
      </c>
      <c r="BM18" s="904">
        <f>IF(ISNUMBER((Datos!P18-Datos!Q18)/(Datos!R18-Datos!P18+Datos!Q18)),(Datos!P18-Datos!Q18)/(Datos!R18-Datos!P18+Datos!Q18)," - ")</f>
        <v>-0.21014492753623187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3156</v>
      </c>
      <c r="G19" s="819">
        <f t="shared" si="6"/>
        <v>3236</v>
      </c>
      <c r="H19" s="821">
        <f t="shared" si="6"/>
        <v>0</v>
      </c>
      <c r="I19" s="819">
        <f t="shared" si="6"/>
        <v>0</v>
      </c>
      <c r="J19" s="821">
        <f t="shared" si="6"/>
        <v>0</v>
      </c>
      <c r="K19" s="821">
        <f t="shared" si="6"/>
        <v>0</v>
      </c>
      <c r="L19" s="880">
        <f t="shared" si="6"/>
        <v>0</v>
      </c>
      <c r="M19" s="880">
        <f t="shared" si="6"/>
        <v>0</v>
      </c>
      <c r="N19" s="880">
        <f t="shared" si="6"/>
        <v>44</v>
      </c>
      <c r="O19" s="880">
        <f t="shared" si="6"/>
        <v>0</v>
      </c>
      <c r="P19" s="880">
        <f t="shared" si="6"/>
        <v>0</v>
      </c>
      <c r="Q19" s="821">
        <f t="shared" si="6"/>
        <v>405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1296</v>
      </c>
      <c r="AC19" s="820">
        <f t="shared" si="7"/>
        <v>336</v>
      </c>
      <c r="AD19" s="820">
        <f t="shared" si="7"/>
        <v>0</v>
      </c>
      <c r="AE19" s="820">
        <f t="shared" si="7"/>
        <v>0</v>
      </c>
      <c r="AF19" s="827">
        <f t="shared" si="7"/>
        <v>3219</v>
      </c>
      <c r="AG19" s="827">
        <f t="shared" si="7"/>
        <v>0</v>
      </c>
      <c r="AH19" s="827">
        <f t="shared" si="7"/>
        <v>124</v>
      </c>
      <c r="AI19" s="827">
        <f t="shared" si="7"/>
        <v>0</v>
      </c>
      <c r="AJ19" s="820">
        <f t="shared" si="7"/>
        <v>0</v>
      </c>
      <c r="AK19" s="827">
        <f t="shared" si="7"/>
        <v>0</v>
      </c>
      <c r="AL19" s="827">
        <f t="shared" si="7"/>
        <v>0</v>
      </c>
      <c r="AM19" s="827">
        <f t="shared" si="7"/>
        <v>9179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504</v>
      </c>
      <c r="BD19" s="819">
        <f t="shared" si="7"/>
        <v>1274</v>
      </c>
      <c r="BE19" s="819">
        <f t="shared" si="7"/>
        <v>0</v>
      </c>
      <c r="BF19" s="829">
        <f t="shared" si="7"/>
        <v>0</v>
      </c>
      <c r="BG19" s="914">
        <f>IF(ISNUMBER(Datos!K19/Datos!J19),Datos!K19/Datos!J19," - ")</f>
        <v>1.0462616822429907</v>
      </c>
      <c r="BH19" s="914">
        <f>IF(ISNUMBER(((Datos!L19/Datos!K19)*11)/factor_trimestre),((Datos!L19/Datos!K19)*11)/factor_trimestre," - ")</f>
        <v>9.2889682894149175</v>
      </c>
      <c r="BI19" s="812">
        <f>IF(ISNUMBER(Datos!J19/Datos!I19),Datos!J19/Datos!I19," - ")</f>
        <v>0.19906976744186047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-0.41064638783269963</v>
      </c>
      <c r="BM19" s="888">
        <f>IF(ISNUMBER((Datos!P19-Datos!Q19+R19)/(Datos!R19-Datos!P19+Datos!Q19-R19)),(Datos!P19-Datos!Q19+R19)/(Datos!R19-Datos!P19+Datos!Q19-R19)," - ")</f>
        <v>7.5740944017563113E-3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1294.4000000000001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1677.7798822650525</v>
      </c>
      <c r="G21" s="551">
        <f>IF(ISNUMBER(STDEV(G8:G18)),STDEV(G8:G18),"-")</f>
        <v>1620.3394088893845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693.44415780940858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143.3429454141361</v>
      </c>
      <c r="BD21" s="550"/>
      <c r="BE21" s="550">
        <f>IF(ISNUMBER(STDEV(BE8:BE18)),STDEV(BE8:BE18),"-")</f>
        <v>0</v>
      </c>
      <c r="BF21" s="555">
        <f>IF(ISNUMBER(STDEV(BF8:BF18)),STDEV(BF8:BF18),"-")</f>
        <v>0</v>
      </c>
      <c r="BG21" s="774">
        <f>IF(ISNUMBER(STDEV(BG8:BG18)),STDEV(BG8:BG18),"-")</f>
        <v>5.9897533116303059</v>
      </c>
      <c r="BH21" s="775">
        <f>IF(ISNUMBER(STDEV(BH8:BH18)),STDEV(BH8:BH18),"-")</f>
        <v>7.3525901664886346</v>
      </c>
      <c r="BI21" s="248">
        <f>IF(ISNUMBER(STDEV(BI8:BI18)),STDEV(BI8:BI18),"-")</f>
        <v>0.13709017842874882</v>
      </c>
      <c r="BJ21" s="229" t="str">
        <f>IF(ISNUMBER(BL21/BM21),BL21/BM21," - ")</f>
        <v xml:space="preserve"> - </v>
      </c>
      <c r="BK21" s="574"/>
      <c r="BL21" s="558">
        <f>IF(ISNUMBER(STDEV(BL8:BL18)),STDEV(BL8:BL18),"-")</f>
        <v>0.24344443032127547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Gyes3nkXw16UmGA1Syyjmz5cZEYIseRlIdfIiRsR90ElNfANSPzWl6cRJloQ8Qd2ANCIs9tTQTutLnr1HOd3Q==" saltValue="XqFt742EsAAzhWOXms/s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ROQUETAS DE MAR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125</v>
      </c>
      <c r="G10" s="224">
        <f>IF(ISNUMBER(Datos!I10),Datos!I10," - ")</f>
        <v>125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118</v>
      </c>
      <c r="AB10" s="333"/>
      <c r="AC10" s="333"/>
      <c r="AD10" s="483"/>
      <c r="AE10" s="483">
        <f>IF(ISNUMBER(Datos!R10),Datos!R10," - ")</f>
        <v>46</v>
      </c>
      <c r="AF10" s="228" t="str">
        <f>IF(ISNUMBER(Datos!BV10),Datos!BV10," - ")</f>
        <v xml:space="preserve"> - </v>
      </c>
      <c r="AG10" s="224" t="str">
        <f>IF(ISNUMBER(Datos!DV10),Datos!DV10," - ")</f>
        <v xml:space="preserve"> - </v>
      </c>
      <c r="AH10" s="297"/>
      <c r="AI10" s="226"/>
      <c r="AJ10" s="224">
        <f>IF(ISNUMBER(Datos!M10),Datos!M10," - ")</f>
        <v>6</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249</v>
      </c>
      <c r="AA12" s="331" t="str">
        <f>IF(ISNUMBER(IF(J_V="SI",Datos!L12,Datos!L12+Datos!AB12)-IF(Monitorios="SI",Datos!CD12,0)),
                          IF(J_V="SI",Datos!L12,Datos!L12+Datos!AB12)-IF(Monitorios="SI",Datos!CD12,0),
                          " - ")</f>
        <v xml:space="preserve"> - </v>
      </c>
      <c r="AB12" s="333"/>
      <c r="AC12" s="333"/>
      <c r="AD12" s="483"/>
      <c r="AE12" s="483">
        <f>IF(ISNUMBER(Datos!R12),Datos!R12," - ")</f>
        <v>8915</v>
      </c>
      <c r="AF12" s="228" t="str">
        <f>IF(ISNUMBER(Datos!BV12),Datos!BV12," - ")</f>
        <v xml:space="preserve"> - </v>
      </c>
      <c r="AG12" s="224" t="str">
        <f>IF(ISNUMBER(Datos!DV12),Datos!DV12," - ")</f>
        <v xml:space="preserve"> - </v>
      </c>
      <c r="AH12" s="297"/>
      <c r="AI12" s="226"/>
      <c r="AJ12" s="224">
        <f>IF(ISNUMBER(Datos!M12),Datos!M12," - ")</f>
        <v>320</v>
      </c>
      <c r="AK12" s="228">
        <f>IF(ISNUMBER(Datos!N12),Datos!N12," - ")</f>
        <v>355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15.10651499482937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1.4451524806554393E-2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125</v>
      </c>
      <c r="G13" s="897">
        <f>SUBTOTAL(9,G8:G12)</f>
        <v>125</v>
      </c>
      <c r="H13" s="907"/>
      <c r="I13" s="897">
        <f t="shared" ref="I13:N13" si="0">SUBTOTAL(9,I8:I12)</f>
        <v>0</v>
      </c>
      <c r="J13" s="866">
        <f t="shared" si="0"/>
        <v>0</v>
      </c>
      <c r="K13" s="907">
        <f t="shared" si="0"/>
        <v>0</v>
      </c>
      <c r="L13" s="907">
        <f t="shared" si="0"/>
        <v>0</v>
      </c>
      <c r="M13" s="907">
        <f t="shared" si="0"/>
        <v>0</v>
      </c>
      <c r="N13" s="907">
        <f t="shared" si="0"/>
        <v>376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249</v>
      </c>
      <c r="AA13" s="899">
        <f t="shared" si="2"/>
        <v>118</v>
      </c>
      <c r="AB13" s="899">
        <f t="shared" si="2"/>
        <v>0</v>
      </c>
      <c r="AC13" s="899">
        <f t="shared" si="2"/>
        <v>0</v>
      </c>
      <c r="AD13" s="899">
        <f t="shared" si="2"/>
        <v>0</v>
      </c>
      <c r="AE13" s="899">
        <f t="shared" si="2"/>
        <v>8961</v>
      </c>
      <c r="AF13" s="907">
        <f t="shared" si="2"/>
        <v>0</v>
      </c>
      <c r="AG13" s="907">
        <f t="shared" si="2"/>
        <v>0</v>
      </c>
      <c r="AH13" s="907">
        <f t="shared" si="2"/>
        <v>0</v>
      </c>
      <c r="AI13" s="907">
        <f t="shared" si="2"/>
        <v>0</v>
      </c>
      <c r="AJ13" s="907">
        <f t="shared" si="2"/>
        <v>326</v>
      </c>
      <c r="AK13" s="907">
        <f t="shared" si="2"/>
        <v>356</v>
      </c>
      <c r="AL13" s="907">
        <f t="shared" si="2"/>
        <v>0</v>
      </c>
      <c r="AM13" s="907">
        <f t="shared" si="2"/>
        <v>0</v>
      </c>
      <c r="AN13" s="907">
        <f t="shared" si="2"/>
        <v>0</v>
      </c>
      <c r="AO13" s="903">
        <f>IF(ISNUMBER(((NºAsuntos!I13/NºAsuntos!G13)*11)/factor_trimestre),((NºAsuntos!I13/NºAsuntos!G13)*11)/factor_trimestre," - ")</f>
        <v>15.193449334698055</v>
      </c>
      <c r="AP13" s="909" t="str">
        <f>IF(ISNUMBER(Datos!CI13/Datos!CJ13),Datos!CI13/Datos!CJ13," - ")</f>
        <v xml:space="preserve"> - </v>
      </c>
      <c r="AQ13" s="927">
        <f t="shared" ref="AQ13:AV13" si="3">SUBTOTAL(9,AQ9:AQ12)</f>
        <v>0</v>
      </c>
      <c r="AR13" s="927">
        <f t="shared" si="3"/>
        <v>1.4451524806554393E-2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3031</v>
      </c>
      <c r="G16" s="224">
        <f>IF(ISNUMBER(IF(D_I="SI",Datos!I16,Datos!I16+Datos!AC16)),IF(D_I="SI",Datos!I16,Datos!I16+Datos!AC16)," - ")</f>
        <v>3027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1270</v>
      </c>
      <c r="Z16" s="618">
        <f>IF(ISNUMBER(Datos!Q16),Datos!Q16," - ")</f>
        <v>87</v>
      </c>
      <c r="AA16" s="331">
        <f>IF(ISNUMBER(IF(D_I="SI",Datos!L16,Datos!L16+Datos!AF16)),IF(D_I="SI",Datos!L16,Datos!L16+Datos!AF16)," - ")</f>
        <v>3032</v>
      </c>
      <c r="AB16" s="333"/>
      <c r="AC16" s="333"/>
      <c r="AD16" s="483"/>
      <c r="AE16" s="483">
        <f>IF(ISNUMBER(Datos!R16),Datos!R16," - ")</f>
        <v>218</v>
      </c>
      <c r="AF16" s="228" t="str">
        <f>IF(ISNUMBER(Datos!BV16),Datos!BV16," - ")</f>
        <v xml:space="preserve"> - </v>
      </c>
      <c r="AG16" s="224"/>
      <c r="AH16" s="297"/>
      <c r="AI16" s="226"/>
      <c r="AJ16" s="224">
        <f>IF(ISNUMBER(Datos!M16),Datos!M16," - ")</f>
        <v>178</v>
      </c>
      <c r="AK16" s="228">
        <f>IF(ISNUMBER(Datos!N16),Datos!N16," - ")</f>
        <v>907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4.7748031496062993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69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3031</v>
      </c>
      <c r="G18" s="897">
        <f>SUBTOTAL(9,G15:G17)</f>
        <v>3111</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1286</v>
      </c>
      <c r="Z18" s="931">
        <f t="shared" si="5"/>
        <v>87</v>
      </c>
      <c r="AA18" s="931">
        <f t="shared" si="5"/>
        <v>3101</v>
      </c>
      <c r="AB18" s="931">
        <f t="shared" si="5"/>
        <v>0</v>
      </c>
      <c r="AC18" s="931">
        <f t="shared" si="5"/>
        <v>0</v>
      </c>
      <c r="AD18" s="931">
        <f t="shared" si="5"/>
        <v>0</v>
      </c>
      <c r="AE18" s="931">
        <f t="shared" si="5"/>
        <v>218</v>
      </c>
      <c r="AF18" s="931">
        <f t="shared" si="5"/>
        <v>0</v>
      </c>
      <c r="AG18" s="931">
        <f t="shared" si="5"/>
        <v>0</v>
      </c>
      <c r="AH18" s="931">
        <f t="shared" si="5"/>
        <v>0</v>
      </c>
      <c r="AI18" s="931">
        <f t="shared" si="5"/>
        <v>0</v>
      </c>
      <c r="AJ18" s="931">
        <f t="shared" si="5"/>
        <v>178</v>
      </c>
      <c r="AK18" s="931">
        <f t="shared" si="5"/>
        <v>918</v>
      </c>
      <c r="AL18" s="931">
        <f t="shared" si="5"/>
        <v>0</v>
      </c>
      <c r="AM18" s="931">
        <f t="shared" si="5"/>
        <v>0</v>
      </c>
      <c r="AN18" s="931">
        <f t="shared" si="5"/>
        <v>0</v>
      </c>
      <c r="AO18" s="933">
        <f>IF(ISNUMBER(((NºAsuntos!I18/NºAsuntos!G18)*11)/factor_trimestre),((NºAsuntos!I18/NºAsuntos!G18)*11)/factor_trimestre," - ")</f>
        <v>4.8227060653188181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3156</v>
      </c>
      <c r="G19" s="819">
        <f t="shared" si="7"/>
        <v>3236</v>
      </c>
      <c r="H19" s="820">
        <f t="shared" si="7"/>
        <v>0</v>
      </c>
      <c r="I19" s="819">
        <f t="shared" si="7"/>
        <v>0</v>
      </c>
      <c r="J19" s="821">
        <f t="shared" si="7"/>
        <v>0</v>
      </c>
      <c r="K19" s="819">
        <f t="shared" si="7"/>
        <v>0</v>
      </c>
      <c r="L19" s="822">
        <f t="shared" si="7"/>
        <v>0</v>
      </c>
      <c r="M19" s="819">
        <f t="shared" si="7"/>
        <v>0</v>
      </c>
      <c r="N19" s="820">
        <f t="shared" si="7"/>
        <v>405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1296</v>
      </c>
      <c r="Z19" s="826">
        <f t="shared" si="8"/>
        <v>336</v>
      </c>
      <c r="AA19" s="827">
        <f t="shared" si="8"/>
        <v>3219</v>
      </c>
      <c r="AB19" s="827">
        <f t="shared" si="8"/>
        <v>0</v>
      </c>
      <c r="AC19" s="827">
        <f t="shared" si="8"/>
        <v>0</v>
      </c>
      <c r="AD19" s="828">
        <f t="shared" si="8"/>
        <v>0</v>
      </c>
      <c r="AE19" s="828">
        <f t="shared" si="8"/>
        <v>9179</v>
      </c>
      <c r="AF19" s="829">
        <f t="shared" si="8"/>
        <v>0</v>
      </c>
      <c r="AG19" s="830">
        <f t="shared" si="8"/>
        <v>0</v>
      </c>
      <c r="AH19" s="831">
        <f t="shared" si="8"/>
        <v>0</v>
      </c>
      <c r="AI19" s="829">
        <f t="shared" si="8"/>
        <v>0</v>
      </c>
      <c r="AJ19" s="819">
        <f t="shared" si="8"/>
        <v>504</v>
      </c>
      <c r="AK19" s="819">
        <f t="shared" si="8"/>
        <v>1274</v>
      </c>
      <c r="AL19" s="819">
        <f t="shared" si="8"/>
        <v>0</v>
      </c>
      <c r="AM19" s="832">
        <f t="shared" si="8"/>
        <v>0</v>
      </c>
      <c r="AN19" s="822">
        <f>IF(ISNUMBER(Datos!K19/Datos!J19),Datos!K19/Datos!J19," - ")</f>
        <v>1.0462616822429907</v>
      </c>
      <c r="AO19" s="822">
        <f>IF(ISNUMBER(FIND("06",Criterios!A8,1)),(IF(ISNUMBER(((Datos!R19/Datos!Q19)*11)/factor_trimestre),((Datos!R19/Datos!Q19)*11)/factor_trimestre," - ")),(IF(ISNUMBER(((Datos!L19/Datos!K19)*11)/factor_trimestre),((Datos!L19/Datos!K19)*11)/factor_trimestre," - ")))</f>
        <v>9.2889682894149175</v>
      </c>
      <c r="AP19" s="833" t="str">
        <f>IF(ISNUMBER(Datos!CI19/Datos!CJ19),Datos!CI19/Datos!CJ19," - ")</f>
        <v xml:space="preserve"> - </v>
      </c>
      <c r="AQ19" s="833">
        <f>IF(OR(ISNUMBER(FIND("01",Criterios!A8,1)),ISNUMBER(FIND("02",Criterios!A8,1)),ISNUMBER(FIND("03",Criterios!A8,1)),ISNUMBER(FIND("04",Criterios!A8,1))),(J19-Y19+K19)/(F19-K19),(I19-Y19+K19)/(F19-K19))</f>
        <v>-0.41064638783269963</v>
      </c>
      <c r="AR19" s="833">
        <f>IF(ISNUMBER((Datos!P19-Datos!Q19+O19)/(Datos!R19-Datos!P19+Datos!Q19-O19)),(Datos!P19-Datos!Q19+O19)/(Datos!R19-Datos!P19+Datos!Q19-O19)," - ")</f>
        <v>7.5740944017563113E-3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1294.4000000000001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1677.7798822650525</v>
      </c>
      <c r="G21" s="551">
        <f>IF(ISNUMBER(STDEV(G8:G18)),STDEV(G8:G18),"-")</f>
        <v>1620.3394088893845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143.3429454141361</v>
      </c>
      <c r="AK21" s="251"/>
      <c r="AL21" s="251">
        <f>IF(ISNUMBER(STDEV(AL8:AL18)),STDEV(AL8:AL18),"-")</f>
        <v>0</v>
      </c>
      <c r="AM21" s="253">
        <f>IF(ISNUMBER(STDEV(AM8:AM18)),STDEV(AM8:AM18),"-")</f>
        <v>0</v>
      </c>
      <c r="AN21" s="538">
        <f>IF(ISNUMBER(STDEV(AN8:AN18)),STDEV(AN8:AN18),"-")</f>
        <v>0</v>
      </c>
      <c r="AO21" s="539">
        <f>IF(ISNUMBER(STDEV(AO8:AO18)),STDEV(AO8:AO18),"-")</f>
        <v>7.3418484982546302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neK2/tIP9MLDsYH8hduGMWLbqIJSW2OrZ/aeuj/cdwLxvqMYKyrDF9uxtkwr5qq70zkksc2WUFScV1xf7nZCw==" saltValue="2/Ve0ttqN0N21o/qn2m1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spR2MVLqVnwuepJEQdybhkEQweZRJrCo336ZyBOl9tsdAL2DfWFGAHa1gF3uv3I+4gM/Z23Ly72n5qqON4tsw==" saltValue="D4mWHwmwaXXm3j2sDwg9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lUlV0nfXG5wujhTaXnKH5uRHci1jwMfskDJ3zMr7ODvDiGWW41iK/klCWVcLJlfDySZerYdANTgaPIGbUPQjQ==" saltValue="K55cHaqHHiRv4RvekgFw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ROQUETAS DE MAR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0.3336745138178096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0.23594351142969752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Q+yOFIJPAz3CrkLkvdcxlb69GCnqjOZEFcoQVrIYAUxHYnkpYdqNuM4NSg9BAbXGoDC8S2BvKMM/fStUJL9+A==" saltValue="XpbY50jC1rpuY6sHE35p5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2HGVu+YTgHmGWvesydCByGzANvsIejz3qYAXHIg6f+8ksXU33KBDP3gGWKQC2Kh+kLJM0mlFpTHlVf+o0Txtw==" saltValue="mSTdXshX5HivhYdUyGrg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ROQUETAS DE MAR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125</v>
      </c>
      <c r="D10" s="403">
        <f>IF(ISNUMBER(C10/Datos!BH10),C10/Datos!BH10," - ")</f>
        <v>125</v>
      </c>
      <c r="E10" s="402">
        <f>IF(ISNUMBER(Datos!J10),Datos!J10," - ")</f>
        <v>3</v>
      </c>
      <c r="F10" s="403">
        <f>IF(ISNUMBER(E10/B10),E10/B10," - ")</f>
        <v>3</v>
      </c>
      <c r="G10" s="402">
        <f>IF(ISNUMBER(Datos!K10),Datos!K10," - ")</f>
        <v>10</v>
      </c>
      <c r="H10" s="403">
        <f>IF(ISNUMBER(G10/B10),G10/B10," - ")</f>
        <v>10</v>
      </c>
      <c r="I10" s="402">
        <f>IF(ISNUMBER(Datos!L10),Datos!L10," - ")</f>
        <v>118</v>
      </c>
      <c r="J10" s="403">
        <f>IF(ISNUMBER(I10/B10),I10/B10," - ")</f>
        <v>118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7618</v>
      </c>
      <c r="D12" s="403">
        <f>IF(ISNUMBER(C12/Datos!BH12),C12/Datos!BH12," - ")</f>
        <v>1088.2857142857142</v>
      </c>
      <c r="E12" s="402">
        <f>IF(ISNUMBER(IF(J_V="SI",Datos!J12,Datos!J12+Datos!Z12)),IF(J_V="SI",Datos!J12,Datos!J12+Datos!Z12)," - ")</f>
        <v>909</v>
      </c>
      <c r="F12" s="403">
        <f>IF(ISNUMBER(E12/B12),E12/B12," - ")</f>
        <v>129.85714285714286</v>
      </c>
      <c r="G12" s="402">
        <f>IF(ISNUMBER(IF(J_V="SI",Datos!K12,Datos!K12+Datos!AA12)),IF(J_V="SI",Datos!K12,Datos!K12+Datos!AA12)," - ")</f>
        <v>967</v>
      </c>
      <c r="H12" s="403">
        <f>IF(ISNUMBER(G12/B12),G12/B12," - ")</f>
        <v>138.14285714285714</v>
      </c>
      <c r="I12" s="402">
        <f>IF(ISNUMBER(IF(J_V="SI",Datos!L12,Datos!L12+Datos!AB12)),IF(J_V="SI",Datos!L12,Datos!L12+Datos!AB12)," - ")</f>
        <v>7304</v>
      </c>
      <c r="J12" s="403">
        <f>IF(ISNUMBER(I12/B12),I12/B12," - ")</f>
        <v>1043.4285714285713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7743</v>
      </c>
      <c r="D13" s="849" t="str">
        <f>IF(ISNUMBER(C13/Datos!BI13),C13/Datos!BI13," - ")</f>
        <v xml:space="preserve"> - </v>
      </c>
      <c r="E13" s="848">
        <f>SUBTOTAL(9,E8:E12)</f>
        <v>912</v>
      </c>
      <c r="F13" s="849">
        <f>IF(ISNUMBER(E13/B13),E13/B13," - ")</f>
        <v>130.28571428571428</v>
      </c>
      <c r="G13" s="848">
        <f>SUBTOTAL(9,G8:G12)</f>
        <v>977</v>
      </c>
      <c r="H13" s="849">
        <f>IF(ISNUMBER(G13/B13),G13/B13," - ")</f>
        <v>139.57142857142858</v>
      </c>
      <c r="I13" s="848">
        <f>SUBTOTAL(9,I8:I12)</f>
        <v>7422</v>
      </c>
      <c r="J13" s="849">
        <f>IF(ISNUMBER(I13/B13),I13/B13," - ")</f>
        <v>1060.2857142857142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3027</v>
      </c>
      <c r="D16" s="403">
        <f>IF(ISNUMBER(C16/Datos!BH16),C16/Datos!BH16," - ")</f>
        <v>432.42857142857144</v>
      </c>
      <c r="E16" s="402">
        <f>IF(ISNUMBER(IF(D_I="SI",Datos!J16,Datos!J16+Datos!AD16)),IF(D_I="SI",Datos!J16,Datos!J16+Datos!AD16)," - ")</f>
        <v>1271</v>
      </c>
      <c r="F16" s="403">
        <f>IF(ISNUMBER(E16/B16),E16/B16," - ")</f>
        <v>181.57142857142858</v>
      </c>
      <c r="G16" s="402">
        <f>IF(ISNUMBER(IF(D_I="SI",Datos!K16,Datos!K16+Datos!AE16)),IF(D_I="SI",Datos!K16,Datos!K16+Datos!AE16)," - ")</f>
        <v>1270</v>
      </c>
      <c r="H16" s="403">
        <f>IF(ISNUMBER(G16/B16),G16/B16," - ")</f>
        <v>181.42857142857142</v>
      </c>
      <c r="I16" s="402">
        <f>IF(ISNUMBER(IF(D_I="SI",Datos!L16,Datos!L16+Datos!AF16)),IF(D_I="SI",Datos!L16,Datos!L16+Datos!AF16)," - ")</f>
        <v>3032</v>
      </c>
      <c r="J16" s="403">
        <f>IF(ISNUMBER(I16/B16),I16/B16," - ")</f>
        <v>433.14285714285717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84</v>
      </c>
      <c r="D17" s="403">
        <f>IF(ISNUMBER(C17/Datos!BH17),C17/Datos!BH17," - ")</f>
        <v>84</v>
      </c>
      <c r="E17" s="402">
        <f>IF(ISNUMBER(IF(D_I="SI",Datos!J17,Datos!J17+Datos!AD17)),IF(D_I="SI",Datos!J17,Datos!J17+Datos!AD17)," - ")</f>
        <v>1</v>
      </c>
      <c r="F17" s="403">
        <f>IF(ISNUMBER(E17/B17),E17/B17," - ")</f>
        <v>1</v>
      </c>
      <c r="G17" s="402">
        <f>IF(ISNUMBER(IF(D_I="SI",Datos!K17,Datos!K17+Datos!AE17)),IF(D_I="SI",Datos!K17,Datos!K17+Datos!AE17)," - ")</f>
        <v>16</v>
      </c>
      <c r="H17" s="403">
        <f>IF(ISNUMBER(G17/B17),G17/B17," - ")</f>
        <v>16</v>
      </c>
      <c r="I17" s="402">
        <f>IF(ISNUMBER(IF(D_I="SI",Datos!L17,Datos!L17+Datos!AF17)),IF(D_I="SI",Datos!L17,Datos!L17+Datos!AF17)," - ")</f>
        <v>69</v>
      </c>
      <c r="J17" s="403">
        <f>IF(ISNUMBER(I17/B17),I17/B17," - ")</f>
        <v>69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3111</v>
      </c>
      <c r="D18" s="849" t="str">
        <f>IF(ISNUMBER(C18/Datos!BI18),C18/Datos!BI18," - ")</f>
        <v xml:space="preserve"> - </v>
      </c>
      <c r="E18" s="848">
        <f>SUBTOTAL(9,E14:E17)</f>
        <v>1272</v>
      </c>
      <c r="F18" s="849">
        <f>IF(ISNUMBER(E18/B18),E18/B18," - ")</f>
        <v>181.71428571428572</v>
      </c>
      <c r="G18" s="848">
        <f>SUBTOTAL(9,G14:G17)</f>
        <v>1286</v>
      </c>
      <c r="H18" s="849">
        <f>IF(ISNUMBER(G18/B18),G18/B18," - ")</f>
        <v>183.71428571428572</v>
      </c>
      <c r="I18" s="848">
        <f>SUBTOTAL(9,I14:I17)</f>
        <v>3101</v>
      </c>
      <c r="J18" s="849">
        <f>IF(ISNUMBER(I18/B18),I18/B18," - ")</f>
        <v>443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10854</v>
      </c>
      <c r="D19" s="794" t="str">
        <f>IF(ISNUMBER(C19/Datos!BI19),C19/Datos!BI19," - ")</f>
        <v xml:space="preserve"> - </v>
      </c>
      <c r="E19" s="793">
        <f>SUBTOTAL(9,E9:E18)</f>
        <v>2184</v>
      </c>
      <c r="F19" s="794">
        <f>IF(ISNUMBER(E19/B19),E19/B19," - ")</f>
        <v>312</v>
      </c>
      <c r="G19" s="793">
        <f>SUBTOTAL(9,G9:G18)</f>
        <v>2263</v>
      </c>
      <c r="H19" s="794">
        <f>IF(ISNUMBER(G19/B19),G19/B19," - ")</f>
        <v>323.28571428571428</v>
      </c>
      <c r="I19" s="793">
        <f>SUBTOTAL(9,I9:I18)</f>
        <v>10523</v>
      </c>
      <c r="J19" s="794">
        <f>IF(ISNUMBER(I19/B19),I19/B19," - ")</f>
        <v>1503.2857142857142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bWCUdfKFk0UQ+aQhg/rjsSLw/TYhT3KeG3lR7js9deril96rNYTRO9343/YajB4ADS7zOZmd5GzRN97JcFDuw==" saltValue="w2qRngJb4f2kmcHDuqRg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ROQUETAS DE MAR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125</v>
      </c>
      <c r="G10" s="683">
        <f>IF(ISNUMBER(Datos!I10),Datos!I10," - ")</f>
        <v>125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118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376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320</v>
      </c>
      <c r="AM12" s="689">
        <f>IF(ISNUMBER(Datos!N12+DatosP!N16),Datos!N12+DatosP!N16," - ")</f>
        <v>355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15.10651499482937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1.4451524806554393E-2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125</v>
      </c>
      <c r="G13" s="937">
        <f t="shared" si="0"/>
        <v>125</v>
      </c>
      <c r="H13" s="937">
        <f t="shared" si="0"/>
        <v>0</v>
      </c>
      <c r="I13" s="939">
        <f t="shared" si="0"/>
        <v>0</v>
      </c>
      <c r="J13" s="938">
        <f t="shared" si="0"/>
        <v>0</v>
      </c>
      <c r="K13" s="938">
        <f t="shared" si="0"/>
        <v>0</v>
      </c>
      <c r="L13" s="940">
        <f t="shared" si="0"/>
        <v>0</v>
      </c>
      <c r="M13" s="940">
        <f t="shared" si="0"/>
        <v>0</v>
      </c>
      <c r="N13" s="938">
        <f t="shared" si="0"/>
        <v>376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249</v>
      </c>
      <c r="AE13" s="938">
        <f t="shared" si="1"/>
        <v>0</v>
      </c>
      <c r="AF13" s="938">
        <f t="shared" si="1"/>
        <v>118</v>
      </c>
      <c r="AG13" s="938">
        <f t="shared" si="1"/>
        <v>0</v>
      </c>
      <c r="AH13" s="938">
        <f t="shared" si="1"/>
        <v>8915</v>
      </c>
      <c r="AI13" s="938">
        <f t="shared" si="1"/>
        <v>0</v>
      </c>
      <c r="AJ13" s="938">
        <f t="shared" si="1"/>
        <v>0</v>
      </c>
      <c r="AK13" s="938">
        <f t="shared" si="1"/>
        <v>0</v>
      </c>
      <c r="AL13" s="938">
        <f t="shared" si="1"/>
        <v>326</v>
      </c>
      <c r="AM13" s="938">
        <f t="shared" si="1"/>
        <v>356</v>
      </c>
      <c r="AN13" s="938">
        <f t="shared" si="1"/>
        <v>0</v>
      </c>
      <c r="AO13" s="938">
        <f t="shared" si="1"/>
        <v>0</v>
      </c>
      <c r="AP13" s="943">
        <f>IF(ISNUMBER(((Datos!L13/Datos!K13)*11)/factor_trimestre),((Datos!L13/Datos!K13)*11)/factor_trimestre," - ")</f>
        <v>15.315844700944384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-0.08</v>
      </c>
      <c r="AU13" s="938" t="str">
        <f>IF(ISNUMBER((DatosP!#REF!-DatosP!#REF!+DatosP!#REF!)/(DatosP!#REF!+DatosP!#REF!-DatosP!#REF!-DatosP!#REF!)),(DatosP!#REF!-DatosP!#REF!+DatosP!#REF!)/(DatosP!#REF!+DatosP!#REF!-DatosP!#REF!-DatosP!#REF!)," - ")</f>
        <v xml:space="preserve"> - </v>
      </c>
      <c r="AV13" s="944">
        <f>SUBTOTAL(9,AV9:AV12)</f>
        <v>1.4451524806554393E-2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4.8227060653188181</v>
      </c>
      <c r="AQ18" s="943">
        <f>IF(ISNUMBER(((Datos!M18/Datos!L18)*11)/factor_trimestre),((Datos!M18/Datos!L18)*11)/factor_trimestre," - ")</f>
        <v>0.11480167687842631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-0.21014492753623187</v>
      </c>
      <c r="AW18" s="945">
        <f>IF(ISNUMBER((Datos!Q18-Datos!R18)/(Datos!S18-Datos!Q18+Datos!R18)),(Datos!Q18-Datos!R18)/(Datos!S18-Datos!Q18+Datos!R18)," - ")</f>
        <v>-4.6987087517934005E-2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125</v>
      </c>
      <c r="G19" s="950">
        <f t="shared" si="4"/>
        <v>125</v>
      </c>
      <c r="H19" s="950">
        <f t="shared" si="4"/>
        <v>0</v>
      </c>
      <c r="I19" s="951">
        <f t="shared" si="4"/>
        <v>0</v>
      </c>
      <c r="J19" s="952">
        <f t="shared" si="4"/>
        <v>0</v>
      </c>
      <c r="K19" s="952">
        <f t="shared" si="4"/>
        <v>0</v>
      </c>
      <c r="L19" s="952">
        <f t="shared" si="4"/>
        <v>0</v>
      </c>
      <c r="M19" s="952">
        <f t="shared" si="4"/>
        <v>0</v>
      </c>
      <c r="N19" s="951">
        <f t="shared" si="4"/>
        <v>376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249</v>
      </c>
      <c r="AE19" s="956">
        <f t="shared" si="5"/>
        <v>0</v>
      </c>
      <c r="AF19" s="957">
        <f t="shared" si="5"/>
        <v>118</v>
      </c>
      <c r="AG19" s="957">
        <f t="shared" si="5"/>
        <v>0</v>
      </c>
      <c r="AH19" s="957">
        <f t="shared" si="5"/>
        <v>8915</v>
      </c>
      <c r="AI19" s="957">
        <f t="shared" si="5"/>
        <v>0</v>
      </c>
      <c r="AJ19" s="958">
        <f t="shared" si="5"/>
        <v>0</v>
      </c>
      <c r="AK19" s="958">
        <f t="shared" si="5"/>
        <v>0</v>
      </c>
      <c r="AL19" s="950">
        <f t="shared" si="5"/>
        <v>326</v>
      </c>
      <c r="AM19" s="950">
        <f t="shared" si="5"/>
        <v>356</v>
      </c>
      <c r="AN19" s="950">
        <f t="shared" si="5"/>
        <v>0</v>
      </c>
      <c r="AO19" s="950">
        <f t="shared" si="5"/>
        <v>0</v>
      </c>
      <c r="AP19" s="950">
        <f>IF(ISNUMBER(((Datos!L19/Datos!K19)*11)/factor_trimestre),((Datos!L19/Datos!K19)*11)/factor_trimestre," - ")</f>
        <v>9.2889682894149175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7.5740944017563113E-3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83.333333333333329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72.168783648703226</v>
      </c>
      <c r="G21" s="736">
        <f>IF(ISNUMBER(STDEV(G8:G18)),STDEV(G8:G18),"-")</f>
        <v>72.168783648703226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184.78455923949201</v>
      </c>
      <c r="AM21" s="735"/>
      <c r="AN21" s="735">
        <f>IF(ISNUMBER(STDEV(AN8:AN18)),STDEV(AN8:AN18),"-")</f>
        <v>0</v>
      </c>
      <c r="AO21" s="741">
        <f>IF(ISNUMBER(STDEV(AO8:AO18)),STDEV(AO8:AO18),"-")</f>
        <v>0</v>
      </c>
      <c r="AP21" s="778">
        <f>IF(ISNUMBER(STDEV(AP8:AP18)),STDEV(AP8:AP18),"-")</f>
        <v>7.6879764758156917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AzYZheisUmVW9u0c4yNGlDFnuvDeAOFKx+ILtJ6eHLy5DHNyZ8upgkAjas4nY+3ouvuQtCSvvEVxirXLA+xOg==" saltValue="zF+1orG9e8lvTN1agqFj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ROQUETAS DE MAR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BKzAUPXW6dvRmE7e9kfpm0HoxcoK8TM+zkqdc4cP+SfqAwXS2cp43DPFz3WOim1oz23c+/f8rS9CxTcnlqi9A==" saltValue="Tmb0f8ZYJ/zwxf3ZoeYJ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ROQUETAS DE MAR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320</v>
      </c>
      <c r="E12" s="403">
        <f t="shared" si="0"/>
        <v>45.714285714285715</v>
      </c>
      <c r="F12" s="402">
        <f>IF(ISNUMBER(Datos!N12),Datos!N12," - ")</f>
        <v>355</v>
      </c>
      <c r="G12" s="403">
        <f t="shared" si="1"/>
        <v>50.714285714285715</v>
      </c>
      <c r="H12" s="402">
        <f>IF(ISNUMBER(Datos!O12),Datos!O12," - ")</f>
        <v>493</v>
      </c>
      <c r="I12" s="403">
        <f t="shared" si="2"/>
        <v>70.428571428571431</v>
      </c>
      <c r="BZ12" s="1185">
        <f>Datos!EZ12</f>
        <v>0</v>
      </c>
    </row>
    <row r="13" spans="1:78" ht="14.25" thickTop="1" thickBot="1">
      <c r="A13" s="847" t="str">
        <f>Datos!A13</f>
        <v>TOTAL</v>
      </c>
      <c r="B13" s="848">
        <f>Datos!AP13</f>
        <v>7</v>
      </c>
      <c r="C13" s="850">
        <f>Datos!AR13</f>
        <v>7</v>
      </c>
      <c r="D13" s="848">
        <f>SUBTOTAL(9,D9:D12)</f>
        <v>326</v>
      </c>
      <c r="E13" s="849">
        <f t="shared" si="0"/>
        <v>46.571428571428569</v>
      </c>
      <c r="F13" s="848">
        <f>SUBTOTAL(9,F9:F12)</f>
        <v>356</v>
      </c>
      <c r="G13" s="849">
        <f t="shared" si="1"/>
        <v>50.857142857142854</v>
      </c>
      <c r="H13" s="848">
        <f>SUBTOTAL(9,H9:H12)</f>
        <v>493</v>
      </c>
      <c r="I13" s="849">
        <f>IF(ISNUMBER(H13/B13),H13/B13," - ")</f>
        <v>70.428571428571431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178</v>
      </c>
      <c r="E16" s="403">
        <f t="shared" si="3"/>
        <v>25.428571428571427</v>
      </c>
      <c r="F16" s="402">
        <f>IF(ISNUMBER(Datos!N16),Datos!N16," - ")</f>
        <v>907</v>
      </c>
      <c r="G16" s="403">
        <f t="shared" si="4"/>
        <v>129.57142857142858</v>
      </c>
      <c r="H16" s="402">
        <f>IF(ISNUMBER(Datos!O16),Datos!O16," - ")</f>
        <v>38</v>
      </c>
      <c r="I16" s="403">
        <f t="shared" si="5"/>
        <v>5.4285714285714288</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178</v>
      </c>
      <c r="E18" s="849">
        <f t="shared" si="3"/>
        <v>25.428571428571427</v>
      </c>
      <c r="F18" s="848">
        <f>SUBTOTAL(9,F15:F17)</f>
        <v>918</v>
      </c>
      <c r="G18" s="849">
        <f t="shared" si="4"/>
        <v>131.14285714285714</v>
      </c>
      <c r="H18" s="848">
        <f>SUBTOTAL(9,H15:H17)</f>
        <v>38</v>
      </c>
      <c r="I18" s="849">
        <f>IF(ISNUMBER(H18/B18),H18/B18," - ")</f>
        <v>5.4285714285714288</v>
      </c>
      <c r="BZ18" s="1185"/>
    </row>
    <row r="19" spans="1:78" ht="14.25" thickTop="1" thickBot="1">
      <c r="A19" s="792" t="str">
        <f>Datos!A19</f>
        <v>TOTAL JURISDICCIONES</v>
      </c>
      <c r="B19" s="793">
        <f>Datos!AP19</f>
        <v>7</v>
      </c>
      <c r="C19" s="793">
        <f>Datos!AR19</f>
        <v>7</v>
      </c>
      <c r="D19" s="793">
        <f>SUBTOTAL(9,D8:D18)</f>
        <v>504</v>
      </c>
      <c r="E19" s="794">
        <f>IF(ISNUMBER(D19/B19),D19/B19," - ")</f>
        <v>72</v>
      </c>
      <c r="F19" s="793">
        <f>SUBTOTAL(9,F8:F18)</f>
        <v>1274</v>
      </c>
      <c r="G19" s="794">
        <f>IF(ISNUMBER(F19/B19),F19/B19," - ")</f>
        <v>182</v>
      </c>
      <c r="H19" s="793">
        <f>SUBTOTAL(9,H8:H18)</f>
        <v>531</v>
      </c>
      <c r="I19" s="794">
        <f>IF(ISNUMBER(H19/B19),H19/B19," - ")</f>
        <v>75.857142857142861</v>
      </c>
    </row>
    <row r="22" spans="1:78">
      <c r="A22" s="390" t="str">
        <f>Criterios!A4</f>
        <v>Fecha Informe: 09 dic. 2025</v>
      </c>
    </row>
    <row r="27" spans="1:78">
      <c r="A27" s="413"/>
    </row>
  </sheetData>
  <sheetProtection algorithmName="SHA-512" hashValue="/BSn+t6lI1U0pc3PrXlBwyYc4Mi+gPjbuIUvF5Mmq2eKMf3uZs2RPk6NL5qwHMRV9b9cNFBYeYD6TTBytxl+FQ==" saltValue="95lKrxN+AwOtFZ67cubc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ROQUETAS DE MAR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376</v>
      </c>
      <c r="C12" s="433">
        <f>IF(ISNUMBER(Datos!Q12),Datos!Q12," - ")</f>
        <v>249</v>
      </c>
      <c r="D12" s="407">
        <f>IF(ISNUMBER(Datos!R12),Datos!R12," - ")</f>
        <v>8915</v>
      </c>
    </row>
    <row r="13" spans="1:4" ht="14.25" thickTop="1" thickBot="1">
      <c r="A13" s="847" t="str">
        <f>Datos!A13</f>
        <v>TOTAL</v>
      </c>
      <c r="B13" s="848">
        <f>SUBTOTAL(9,B9:B12)</f>
        <v>376</v>
      </c>
      <c r="C13" s="852">
        <f>SUBTOTAL(9,C9:C12)</f>
        <v>249</v>
      </c>
      <c r="D13" s="850">
        <f>SUBTOTAL(9,D9:D12)</f>
        <v>8961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v>
      </c>
      <c r="C16" s="433">
        <f>IF(ISNUMBER(Datos!Q16),Datos!Q16," - ")</f>
        <v>87</v>
      </c>
      <c r="D16" s="407">
        <f>IF(ISNUMBER(Datos!R16),Datos!R16," - ")</f>
        <v>218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29</v>
      </c>
      <c r="C18" s="852">
        <f>SUBTOTAL(9,C15:C17)</f>
        <v>87</v>
      </c>
      <c r="D18" s="850">
        <f>SUBTOTAL(9,D15:D17)</f>
        <v>218</v>
      </c>
    </row>
    <row r="19" spans="1:4" ht="16.5" customHeight="1" thickTop="1" thickBot="1">
      <c r="A19" s="792" t="str">
        <f>Datos!A19</f>
        <v>TOTAL JURISDICCIONES</v>
      </c>
      <c r="B19" s="797">
        <f>SUBTOTAL(9,B8:B18)</f>
        <v>405</v>
      </c>
      <c r="C19" s="798">
        <f>SUBTOTAL(9,C8:C18)</f>
        <v>336</v>
      </c>
      <c r="D19" s="799">
        <f>SUBTOTAL(9,D8:D18)</f>
        <v>9179</v>
      </c>
    </row>
    <row r="20" spans="1:4" ht="7.5" customHeight="1"/>
    <row r="21" spans="1:4" ht="6" customHeight="1"/>
    <row r="22" spans="1:4">
      <c r="A22" s="390" t="str">
        <f>Criterios!A4</f>
        <v>Fecha Informe: 09 dic. 2025</v>
      </c>
    </row>
    <row r="27" spans="1:4">
      <c r="A27" s="413"/>
    </row>
  </sheetData>
  <sheetProtection algorithmName="SHA-512" hashValue="D191KzV0PoGtfq2FrrIBK7beKCtV8WbYcwAIJoe52OIJAnFd/6ZhthPkR2TQ1Hbj0uLo9gzugMTp+C88HSy8Cw==" saltValue="7nOQmCL4XzRwXHnM5jK5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ROQUETAS DE MAR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-0.37185929648241206</v>
      </c>
      <c r="C10" s="455">
        <f>IF(ISNUMBER((Datos!J10-Datos!T10)/Datos!T10),(Datos!J10-Datos!T10)/Datos!T10," - ")</f>
        <v>-0.75</v>
      </c>
      <c r="D10" s="455">
        <f>IF(ISNUMBER((Datos!K10-Datos!U10)/Datos!U10),(Datos!K10-Datos!U10)/Datos!U10," - ")</f>
        <v>-0.66666666666666663</v>
      </c>
      <c r="E10" s="455">
        <f>IF(ISNUMBER((Datos!L10-Datos!V10)/Datos!V10),(Datos!L10-Datos!V10)/Datos!V10," - ")</f>
        <v>-0.34806629834254144</v>
      </c>
      <c r="F10" s="455">
        <f>IF(ISNUMBER((Datos!M10-Datos!W10)/Datos!W10),(Datos!M10-Datos!W10)/Datos!W10," - ")</f>
        <v>-0.53846153846153844</v>
      </c>
      <c r="G10" s="456">
        <f>IF(ISNUMBER((Datos!N10-Datos!X10)/Datos!X10),(Datos!N10-Datos!X10)/Datos!X10," - ")</f>
        <v>-0.875</v>
      </c>
      <c r="H10" s="454">
        <f>IF(ISNUMBER(((NºAsuntos!G10/NºAsuntos!E10)-Datos!BD10)/Datos!BD10),((NºAsuntos!G10/NºAsuntos!E10)-Datos!BD10)/Datos!BD10," - ")</f>
        <v>0.33333333333333337</v>
      </c>
      <c r="I10" s="455">
        <f>IF(ISNUMBER(((NºAsuntos!I10/NºAsuntos!G10)-Datos!BE10)/Datos!BE10),((NºAsuntos!I10/NºAsuntos!G10)-Datos!BE10)/Datos!BE10," - ")</f>
        <v>0.9558011049723758</v>
      </c>
      <c r="J10" s="460">
        <f>IF(ISNUMBER((('Resol  Asuntos'!D10/NºAsuntos!G10)-Datos!BF10)/Datos!BF10),(('Resol  Asuntos'!D10/NºAsuntos!G10)-Datos!BF10)/Datos!BF10," - ")</f>
        <v>0.38461538461538453</v>
      </c>
      <c r="K10" s="461">
        <f>IF(ISNUMBER((((NºAsuntos!C10+NºAsuntos!E10)/NºAsuntos!G10)-Datos!BG10)/Datos!BG10),(((NºAsuntos!C10+NºAsuntos!E10)/NºAsuntos!G10)-Datos!BG10)/Datos!BG10," - ")</f>
        <v>0.81990521327014232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0.29955646537018082</v>
      </c>
      <c r="C12" s="455">
        <f>IF(ISNUMBER(
   IF(J_V="SI",(Datos!J12-Datos!T12)/Datos!T12,(Datos!J12+Datos!Z12-(Datos!T12+Datos!AH12))/(Datos!T12+Datos!AH12))
     ),IF(J_V="SI",(Datos!J12-Datos!T12)/Datos!T12,(Datos!J12+Datos!Z12-(Datos!T12+Datos!AH12))/(Datos!T12+Datos!AH12))," - ")</f>
        <v>-0.34178131788559013</v>
      </c>
      <c r="D12" s="455">
        <f>IF(ISNUMBER(
   IF(J_V="SI",(Datos!K12-Datos!U12)/Datos!U12,(Datos!K12+Datos!AA12-(Datos!U12+Datos!AI12))/(Datos!U12+Datos!AI12))
     ),IF(J_V="SI",(Datos!K12-Datos!U12)/Datos!U12,(Datos!K12+Datos!AA12-(Datos!U12+Datos!AI12))/(Datos!U12+Datos!AI12))," - ")</f>
        <v>-0.29209370424597364</v>
      </c>
      <c r="E12" s="455">
        <f>IF(ISNUMBER(
   IF(J_V="SI",(Datos!L12-Datos!V12)/Datos!V12,(Datos!L12+Datos!AB12-(Datos!V12+Datos!AJ12))/(Datos!V12+Datos!AJ12))
     ),IF(J_V="SI",(Datos!L12-Datos!V12)/Datos!V12,(Datos!L12+Datos!AB12-(Datos!V12+Datos!AJ12))/(Datos!V12+Datos!AJ12))," - ")</f>
        <v>0.24281095797175431</v>
      </c>
      <c r="F12" s="455">
        <f>IF(ISNUMBER((Datos!M12-Datos!W12)/Datos!W12),(Datos!M12-Datos!W12)/Datos!W12," - ")</f>
        <v>4.2345276872964167E-2</v>
      </c>
      <c r="G12" s="456">
        <f>IF(ISNUMBER((Datos!N12-Datos!X12)/Datos!X12),(Datos!N12-Datos!X12)/Datos!X12," - ")</f>
        <v>-0.38045375218150085</v>
      </c>
      <c r="H12" s="454">
        <f>IF(ISNUMBER(((NºAsuntos!G12/NºAsuntos!E12)-Datos!BD12)/Datos!BD12),((NºAsuntos!G12/NºAsuntos!E12)-Datos!BD12)/Datos!BD12," - ")</f>
        <v>7.5488002680209373E-2</v>
      </c>
      <c r="I12" s="455">
        <f>IF(ISNUMBER(((NºAsuntos!I12/NºAsuntos!G12)-Datos!BE12)/Datos!BE12),((NºAsuntos!I12/NºAsuntos!G12)-Datos!BE12)/Datos!BE12," - ")</f>
        <v>0.75561506575947934</v>
      </c>
      <c r="J12" s="460">
        <f>IF(ISNUMBER((('Resol  Asuntos'!D12/NºAsuntos!G12)-Datos!BF12)/Datos!BF12),(('Resol  Asuntos'!D12/NºAsuntos!G12)-Datos!BF12)/Datos!BF12," - ")</f>
        <v>-0.21110431319043269</v>
      </c>
      <c r="K12" s="461">
        <f>IF(ISNUMBER((((NºAsuntos!C12+NºAsuntos!E12)/NºAsuntos!G12)-Datos!BG12)/Datos!BG12),(((NºAsuntos!C12+NºAsuntos!E12)/NºAsuntos!G12)-Datos!BG12)/Datos!BG12," - ")</f>
        <v>0.66303734975865869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0.27751196172248804</v>
      </c>
      <c r="C13" s="854">
        <f>IF(ISNUMBER(
   IF(J_V="SI",(Datos!J13-Datos!T13)/Datos!T13,(Datos!J13+Datos!Z13-(Datos!T13+Datos!AH13))/(Datos!T13+Datos!AH13))
     ),IF(J_V="SI",(Datos!J13-Datos!T13)/Datos!T13,(Datos!J13+Datos!Z13-(Datos!T13+Datos!AH13))/(Datos!T13+Datos!AH13))," - ")</f>
        <v>-0.34529791816223976</v>
      </c>
      <c r="D13" s="854">
        <f>IF(ISNUMBER(
   IF(J_V="SI",(Datos!K13-Datos!U13)/Datos!U13,(Datos!K13+Datos!AA13-(Datos!U13+Datos!AI13))/(Datos!U13+Datos!AI13))
     ),IF(J_V="SI",(Datos!K13-Datos!U13)/Datos!U13,(Datos!K13+Datos!AA13-(Datos!U13+Datos!AI13))/(Datos!U13+Datos!AI13))," - ")</f>
        <v>-0.30014326647564471</v>
      </c>
      <c r="E13" s="854">
        <f>IF(ISNUMBER(
   IF(J_V="SI",(Datos!L13-Datos!V13)/Datos!V13,(Datos!L13+Datos!AB13-(Datos!V13+Datos!AJ13))/(Datos!V13+Datos!AJ13))
     ),IF(J_V="SI",(Datos!L13-Datos!V13)/Datos!V13,(Datos!L13+Datos!AB13-(Datos!V13+Datos!AJ13))/(Datos!V13+Datos!AJ13))," - ")</f>
        <v>0.22515681743149554</v>
      </c>
      <c r="F13" s="855">
        <f>IF(ISNUMBER((Datos!M13-Datos!W13)/Datos!W13),(Datos!M13-Datos!W13)/Datos!W13," - ")</f>
        <v>1.8749999999999999E-2</v>
      </c>
      <c r="G13" s="856">
        <f>IF(ISNUMBER((Datos!N13-Datos!X13)/Datos!X13),(Datos!N13-Datos!X13)/Datos!X13," - ")</f>
        <v>-0.38726333907056798</v>
      </c>
      <c r="H13" s="856">
        <f>IF(ISNUMBER(((NºAsuntos!G13/NºAsuntos!E13)-Datos!BD13)/Datos!BD13),((NºAsuntos!G13/NºAsuntos!E13)-Datos!BD13)/Datos!BD13," - ")</f>
        <v>6.8969769516915538E-2</v>
      </c>
      <c r="I13" s="856">
        <f>IF(ISNUMBER(((NºAsuntos!I13/NºAsuntos!G13)-Datos!BE13)/Datos!BE13),((NºAsuntos!I13/NºAsuntos!G13)-Datos!BE13)/Datos!BE13," - ")</f>
        <v>0.7505823102705913</v>
      </c>
      <c r="J13" s="856">
        <f>IF(ISNUMBER((('Resol  Asuntos'!D13/NºAsuntos!G13)-Datos!BF13)/Datos!BF13),(('Resol  Asuntos'!D13/NºAsuntos!G13)-Datos!BF13)/Datos!BF13," - ")</f>
        <v>-0.20510303534187335</v>
      </c>
      <c r="K13" s="856">
        <f>IF(ISNUMBER((((NºAsuntos!C13+NºAsuntos!E13)/NºAsuntos!G13)-Datos!BG13)/Datos!BG13),(((NºAsuntos!C13+NºAsuntos!E13)/NºAsuntos!G13)-Datos!BG13)/Datos!BG13," - ")</f>
        <v>0.65908462383684419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0.23399918467183042</v>
      </c>
      <c r="C16" s="455">
        <f>IF(ISNUMBER(
   IF(D_I="SI",(Datos!J16-Datos!T16)/Datos!T16,(Datos!J16+Datos!AD16-(Datos!T16+Datos!AL16))/(Datos!T16+Datos!AL16))
     ),IF(D_I="SI",(Datos!J16-Datos!T16)/Datos!T16,(Datos!J16+Datos!AD16-(Datos!T16+Datos!AL16))/(Datos!T16+Datos!AL16))," - ")</f>
        <v>-9.472934472934473E-2</v>
      </c>
      <c r="D16" s="455">
        <f>IF(ISNUMBER(
   IF(D_I="SI",(Datos!K16-Datos!U16)/Datos!U16,(Datos!K16+Datos!AE16-(Datos!U16+Datos!AM16))/(Datos!U16+Datos!AM16))
     ),IF(D_I="SI",(Datos!K16-Datos!U16)/Datos!U16,(Datos!K16+Datos!AE16-(Datos!U16+Datos!AM16))/(Datos!U16+Datos!AM16))," - ")</f>
        <v>2.3368251410153102E-2</v>
      </c>
      <c r="E16" s="455">
        <f>IF(ISNUMBER(
   IF(D_I="SI",(Datos!L16-Datos!V16)/Datos!V16,(Datos!L16+Datos!AF16-(Datos!V16+Datos!AN16))/(Datos!V16+Datos!AN16))
     ),IF(D_I="SI",(Datos!L16-Datos!V16)/Datos!V16,(Datos!L16+Datos!AF16-(Datos!V16+Datos!AN16))/(Datos!V16+Datos!AN16))," - ")</f>
        <v>0.15857852502865877</v>
      </c>
      <c r="F16" s="455">
        <f>IF(ISNUMBER((Datos!M16-Datos!W16)/Datos!W16),(Datos!M16-Datos!W16)/Datos!W16," - ")</f>
        <v>-8.247422680412371E-2</v>
      </c>
      <c r="G16" s="456">
        <f>IF(ISNUMBER((Datos!N16-Datos!X16)/Datos!X16),(Datos!N16-Datos!X16)/Datos!X16," - ")</f>
        <v>8.4928229665071769E-2</v>
      </c>
      <c r="H16" s="454">
        <f>IF(ISNUMBER(((NºAsuntos!G16/NºAsuntos!E16)-Datos!BD16)/Datos!BD16),((NºAsuntos!G16/NºAsuntos!E16)-Datos!BD16)/Datos!BD16," - ")</f>
        <v>0.13045556646723447</v>
      </c>
      <c r="I16" s="455">
        <f>IF(ISNUMBER(((NºAsuntos!I16/NºAsuntos!G16)-Datos!BE16)/Datos!BE16),((NºAsuntos!I16/NºAsuntos!G16)-Datos!BE16)/Datos!BE16," - ")</f>
        <v>0.13212279492957918</v>
      </c>
      <c r="J16" s="460">
        <f>IF(ISNUMBER((('Resol  Asuntos'!D16/NºAsuntos!G16)-Datos!BF16)/Datos!BF16),(('Resol  Asuntos'!D16/NºAsuntos!G16)-Datos!BF16)/Datos!BF16," - ")</f>
        <v>-0.10342560272749396</v>
      </c>
      <c r="K16" s="461">
        <f>IF(ISNUMBER((((NºAsuntos!C16+NºAsuntos!E16)/NºAsuntos!G16)-Datos!BG16)/Datos!BG16),(((NºAsuntos!C16+NºAsuntos!E16)/NºAsuntos!G16)-Datos!BG16)/Datos!BG16," - ")</f>
        <v>8.8892064535490214E-2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-0.58823529411764708</v>
      </c>
      <c r="C17" s="455">
        <f>IF(ISNUMBER(
   IF(D_I="SI",(Datos!J17-Datos!T17)/Datos!T17,(Datos!J17+Datos!AD17-(Datos!T17+Datos!AL17))/(Datos!T17+Datos!AL17))
     ),IF(D_I="SI",(Datos!J17-Datos!T17)/Datos!T17,(Datos!J17+Datos!AD17-(Datos!T17+Datos!AL17))/(Datos!T17+Datos!AL17))," - ")</f>
        <v>-0.9375</v>
      </c>
      <c r="D17" s="455">
        <f>IF(ISNUMBER(
   IF(D_I="SI",(Datos!K17-Datos!U17)/Datos!U17,(Datos!K17+Datos!AE17-(Datos!U17+Datos!AM17))/(Datos!U17+Datos!AM17))
     ),IF(D_I="SI",(Datos!K17-Datos!U17)/Datos!U17,(Datos!K17+Datos!AE17-(Datos!U17+Datos!AM17))/(Datos!U17+Datos!AM17))," - ")</f>
        <v>-0.66666666666666663</v>
      </c>
      <c r="E17" s="455">
        <f>IF(ISNUMBER(
   IF(D_I="SI",(Datos!L17-Datos!V17)/Datos!V17,(Datos!L17+Datos!AF17-(Datos!V17+Datos!AN17))/(Datos!V17+Datos!AN17))
     ),IF(D_I="SI",(Datos!L17-Datos!V17)/Datos!V17,(Datos!L17+Datos!AF17-(Datos!V17+Datos!AN17))/(Datos!V17+Datos!AN17))," - ")</f>
        <v>-0.59883720930232553</v>
      </c>
      <c r="F17" s="455" t="str">
        <f>IF(ISNUMBER((Datos!M17-Datos!W17)/Datos!W17),(Datos!M17-Datos!W17)/Datos!W17," - ")</f>
        <v xml:space="preserve"> - </v>
      </c>
      <c r="G17" s="456">
        <f>IF(ISNUMBER((Datos!N17-Datos!X17)/Datos!X17),(Datos!N17-Datos!X17)/Datos!X17," - ")</f>
        <v>-0.52173913043478259</v>
      </c>
      <c r="H17" s="454">
        <f>IF(ISNUMBER(((NºAsuntos!G17/NºAsuntos!E17)-Datos!BD17)/Datos!BD17),((NºAsuntos!G17/NºAsuntos!E17)-Datos!BD17)/Datos!BD17," - ")</f>
        <v>4.333333333333333</v>
      </c>
      <c r="I17" s="455">
        <f>IF(ISNUMBER(((NºAsuntos!I17/NºAsuntos!G17)-Datos!BE17)/Datos!BE17),((NºAsuntos!I17/NºAsuntos!G17)-Datos!BE17)/Datos!BE17," - ")</f>
        <v>0.2034883720930232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0.15909090909090917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0.17086940158073013</v>
      </c>
      <c r="C18" s="854">
        <f>IF(ISNUMBER(
   IF(Criterios!B14="SI",(Datos!J18-Datos!T18)/Datos!T18,(Datos!J18+Datos!AD18-(Datos!T18+Datos!AL18))/(Datos!T18+Datos!AL18))
     ),IF(Criterios!B14="SI",(Datos!J18-Datos!T18)/Datos!T18,(Datos!J18+Datos!AD18-(Datos!T18+Datos!AL18))/(Datos!T18+Datos!AL18))," - ")</f>
        <v>-0.10422535211267606</v>
      </c>
      <c r="D18" s="854">
        <f>IF(ISNUMBER(
   IF(Criterios!B14="SI",(Datos!K18-Datos!U18)/Datos!U18,(Datos!K18+Datos!AE18-(Datos!U18+Datos!AM18))/(Datos!U18+Datos!AM18))
     ),IF(Criterios!B14="SI",(Datos!K18-Datos!U18)/Datos!U18,(Datos!K18+Datos!AE18-(Datos!U18+Datos!AM18))/(Datos!U18+Datos!AM18))," - ")</f>
        <v>-2.3273855702094647E-3</v>
      </c>
      <c r="E18" s="854">
        <f>IF(ISNUMBER(
   IF(Criterios!B14="SI",(Datos!L18-Datos!V18)/Datos!V18,(Datos!L18+Datos!AF18-(Datos!V18+Datos!AN18))/(Datos!V18+Datos!AN18))
     ),IF(Criterios!B14="SI",(Datos!L18-Datos!V18)/Datos!V18,(Datos!L18+Datos!AF18-(Datos!V18+Datos!AN18))/(Datos!V18+Datos!AN18))," - ")</f>
        <v>0.11186805306561491</v>
      </c>
      <c r="F18" s="855">
        <f>IF(ISNUMBER((Datos!M18-Datos!W18)/Datos!W18),(Datos!M18-Datos!W18)/Datos!W18," - ")</f>
        <v>-8.247422680412371E-2</v>
      </c>
      <c r="G18" s="856">
        <f>IF(ISNUMBER((Datos!N18-Datos!X18)/Datos!X18),(Datos!N18-Datos!X18)/Datos!X18," - ")</f>
        <v>6.8684516880093138E-2</v>
      </c>
      <c r="H18" s="856">
        <f>IF(ISNUMBER(((NºAsuntos!G18/NºAsuntos!E18)-Datos!BD18)/Datos!BD18),((NºAsuntos!G18/NºAsuntos!E18)-Datos!BD18)/Datos!BD18," - ")</f>
        <v>0.11375401925338256</v>
      </c>
      <c r="I18" s="856">
        <f>IF(ISNUMBER(((NºAsuntos!I18/NºAsuntos!G18)-Datos!BE18)/Datos!BE18),((NºAsuntos!I18/NºAsuntos!G18)-Datos!BE18)/Datos!BE18," - ")</f>
        <v>0.11446183546001364</v>
      </c>
      <c r="J18" s="856">
        <f>IF(ISNUMBER((('Resol  Asuntos'!D18/NºAsuntos!G18)-Datos!BF18)/Datos!BF18),(('Resol  Asuntos'!D18/NºAsuntos!G18)-Datos!BF18)/Datos!BF18," - ")</f>
        <v>-8.0333808981738239E-2</v>
      </c>
      <c r="K18" s="856">
        <f>IF(ISNUMBER((((NºAsuntos!C18+NºAsuntos!E18)/NºAsuntos!G18)-Datos!BG18)/Datos!BG18),(((NºAsuntos!C18+NºAsuntos!E18)/NºAsuntos!G18)-Datos!BG18)/Datos!BG18," - ")</f>
        <v>7.7563092430281491E-2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0.24501032346868548</v>
      </c>
      <c r="C19" s="801">
        <f>IF(ISNUMBER(
   IF(J_V="SI",(Datos!J19-Datos!T19)/Datos!T19,(Datos!J19+Datos!Z19-(Datos!T19+Datos!AH19))/(Datos!T19+Datos!AH19))
     ),IF(J_V="SI",(Datos!J19-Datos!T19)/Datos!T19,(Datos!J19+Datos!Z19-(Datos!T19+Datos!AH19))/(Datos!T19+Datos!AH19))," - ")</f>
        <v>-0.22360469249911127</v>
      </c>
      <c r="D19" s="801">
        <f>IF(ISNUMBER(
   IF(J_V="SI",(Datos!K19-Datos!U19)/Datos!U19,(Datos!K19+Datos!AA19-(Datos!U19+Datos!AI19))/(Datos!U19+Datos!AI19))
     ),IF(J_V="SI",(Datos!K19-Datos!U19)/Datos!U19,(Datos!K19+Datos!AA19-(Datos!U19+Datos!AI19))/(Datos!U19+Datos!AI19))," - ")</f>
        <v>-0.15716945996275605</v>
      </c>
      <c r="E19" s="801">
        <f>IF(ISNUMBER(
   IF(J_V="SI",(Datos!L19-Datos!V19)/Datos!V19,(Datos!L19+Datos!AB19-(Datos!V19+Datos!AJ19))/(Datos!V19+Datos!AJ19))
     ),IF(J_V="SI",(Datos!L19-Datos!V19)/Datos!V19,(Datos!L19+Datos!AB19-(Datos!V19+Datos!AJ19))/(Datos!V19+Datos!AJ19))," - ")</f>
        <v>0.18944274895444785</v>
      </c>
      <c r="F19" s="802">
        <f>IF(ISNUMBER((Datos!M19-Datos!W19)/Datos!W19),(Datos!M19-Datos!W19)/Datos!W19," - ")</f>
        <v>-1.9455252918287938E-2</v>
      </c>
      <c r="G19" s="803">
        <f>IF(ISNUMBER((Datos!N19-Datos!X19)/Datos!X19),(Datos!N19-Datos!X19)/Datos!X19," - ")</f>
        <v>-0.11527777777777778</v>
      </c>
      <c r="H19" s="804">
        <f>IF(ISNUMBER((Tasas!B19-Datos!BD19)/Datos!BD19),(Tasas!B19-Datos!BD19)/Datos!BD19," - ")</f>
        <v>8.5568822859325697E-2</v>
      </c>
      <c r="I19" s="805">
        <f>IF(ISNUMBER((Tasas!C19-Datos!BE19)/Datos!BE19),(Tasas!C19-Datos!BE19)/Datos!BE19," - ")</f>
        <v>0.41124780421683271</v>
      </c>
      <c r="J19" s="806">
        <f>IF(ISNUMBER((Tasas!D19-Datos!BF19)/Datos!BF19),(Tasas!D19-Datos!BF19)/Datos!BF19," - ")</f>
        <v>-0.23335259526156574</v>
      </c>
      <c r="K19" s="806">
        <f>IF(ISNUMBER((Tasas!E19-Datos!BG19)/Datos!BG19),(Tasas!E19-Datos!BG19)/Datos!BG19," - ")</f>
        <v>0.34154035311372016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Koo3Un/l2HKy9OXAz1Z8TPWQYxS7GhrKFVoMj938ZjZ6Cqo91NhhVGImBRWs+YC6MyWsIcqpcldx/lLYUql9A==" saltValue="UqtC/9rqctNyBOOGka3F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ROQUETAS DE MAR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3.3333333333333335</v>
      </c>
      <c r="C10" s="442">
        <f>IF(ISNUMBER(NºAsuntos!I10/NºAsuntos!G10),NºAsuntos!I10/NºAsuntos!G10," - ")</f>
        <v>11.8</v>
      </c>
      <c r="D10" s="443">
        <f>IF(ISNUMBER('Resol  Asuntos'!D10/NºAsuntos!G10),'Resol  Asuntos'!D10/NºAsuntos!G10," - ")</f>
        <v>0.6</v>
      </c>
      <c r="E10" s="444">
        <f>IF(ISNUMBER((NºAsuntos!C10+NºAsuntos!E10)/NºAsuntos!G10),(NºAsuntos!C10+NºAsuntos!E10)/NºAsuntos!G10," - ")</f>
        <v>12.8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1.0638063806380638</v>
      </c>
      <c r="C12" s="442">
        <f>IF(ISNUMBER(NºAsuntos!I12/NºAsuntos!G12),NºAsuntos!I12/NºAsuntos!G12," - ")</f>
        <v>7.5532574974146849</v>
      </c>
      <c r="D12" s="443">
        <f>IF(ISNUMBER('Resol  Asuntos'!D12/NºAsuntos!G12),'Resol  Asuntos'!D12/NºAsuntos!G12," - ")</f>
        <v>0.33092037228541882</v>
      </c>
      <c r="E12" s="444">
        <f>IF(ISNUMBER((NºAsuntos!C12+NºAsuntos!E12)/NºAsuntos!G12),(NºAsuntos!C12+NºAsuntos!E12)/NºAsuntos!G12," - ")</f>
        <v>8.8179937952430194</v>
      </c>
      <c r="G12" s="462"/>
    </row>
    <row r="13" spans="1:7" ht="14.25" thickTop="1" thickBot="1">
      <c r="A13" s="847" t="str">
        <f>Datos!A13</f>
        <v>TOTAL</v>
      </c>
      <c r="B13" s="857">
        <f>IF(ISNUMBER(NºAsuntos!G13/NºAsuntos!E13),NºAsuntos!G13/NºAsuntos!E13," - ")</f>
        <v>1.0712719298245614</v>
      </c>
      <c r="C13" s="858">
        <f>IF(ISNUMBER(NºAsuntos!I13/NºAsuntos!G13),NºAsuntos!I13/NºAsuntos!G13," - ")</f>
        <v>7.5967246673490276</v>
      </c>
      <c r="D13" s="859">
        <f>IF(ISNUMBER('Resol  Asuntos'!D13/NºAsuntos!G13),'Resol  Asuntos'!D13/NºAsuntos!G13," - ")</f>
        <v>0.3336745138178096</v>
      </c>
      <c r="E13" s="860">
        <f>IF(ISNUMBER((NºAsuntos!C13+NºAsuntos!E13)/NºAsuntos!G13),(NºAsuntos!C13+NºAsuntos!E13)/NºAsuntos!G13," - ")</f>
        <v>8.8587512794268175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0.99921321793863105</v>
      </c>
      <c r="C16" s="442">
        <f>IF(ISNUMBER(NºAsuntos!I16/NºAsuntos!G16),NºAsuntos!I16/NºAsuntos!G16," - ")</f>
        <v>2.3874015748031496</v>
      </c>
      <c r="D16" s="443">
        <f>IF(ISNUMBER('Resol  Asuntos'!D16/NºAsuntos!G16),'Resol  Asuntos'!D16/NºAsuntos!G16," - ")</f>
        <v>0.14015748031496064</v>
      </c>
      <c r="E16" s="444">
        <f>IF(ISNUMBER((NºAsuntos!C16+NºAsuntos!E16)/NºAsuntos!G16),(NºAsuntos!C16+NºAsuntos!E16)/NºAsuntos!G16," - ")</f>
        <v>3.3842519685039369</v>
      </c>
      <c r="G16" s="462"/>
    </row>
    <row r="17" spans="1:7" ht="21.75" thickBot="1">
      <c r="A17" s="401" t="str">
        <f>Datos!A17</f>
        <v>Jdos. Violencia contra la mujer/Secc Viol. TI.</v>
      </c>
      <c r="B17" s="441">
        <f>IF(ISNUMBER(NºAsuntos!G17/NºAsuntos!E17),NºAsuntos!G17/NºAsuntos!E17," - ")</f>
        <v>16</v>
      </c>
      <c r="C17" s="442">
        <f>IF(ISNUMBER(NºAsuntos!I17/NºAsuntos!G17),NºAsuntos!I17/NºAsuntos!G17," - ")</f>
        <v>4.3125</v>
      </c>
      <c r="D17" s="443">
        <f>IF(ISNUMBER('Resol  Asuntos'!D17/NºAsuntos!G17),'Resol  Asuntos'!D17/NºAsuntos!G17," - ")</f>
        <v>0</v>
      </c>
      <c r="E17" s="444">
        <f>IF(ISNUMBER((NºAsuntos!C17+NºAsuntos!E17)/NºAsuntos!G17),(NºAsuntos!C17+NºAsuntos!E17)/NºAsuntos!G17," - ")</f>
        <v>5.3125</v>
      </c>
      <c r="G17" s="462"/>
    </row>
    <row r="18" spans="1:7" ht="14.25" thickTop="1" thickBot="1">
      <c r="A18" s="847" t="str">
        <f>Datos!A18</f>
        <v>TOTAL</v>
      </c>
      <c r="B18" s="857">
        <f>IF(ISNUMBER(NºAsuntos!G18/NºAsuntos!E18),NºAsuntos!G18/NºAsuntos!E18," - ")</f>
        <v>1.0110062893081762</v>
      </c>
      <c r="C18" s="858">
        <f>IF(ISNUMBER(NºAsuntos!I18/NºAsuntos!G18),NºAsuntos!I18/NºAsuntos!G18," - ")</f>
        <v>2.411353032659409</v>
      </c>
      <c r="D18" s="861">
        <f>IF(ISNUMBER('Resol  Asuntos'!D18/NºAsuntos!G18),'Resol  Asuntos'!D18/NºAsuntos!G18," - ")</f>
        <v>0.13841368584758942</v>
      </c>
      <c r="E18" s="860">
        <f>IF(ISNUMBER((NºAsuntos!C18+NºAsuntos!E18)/NºAsuntos!G18),(NºAsuntos!C18+NºAsuntos!E18)/NºAsuntos!G18," - ")</f>
        <v>3.4082426127527214</v>
      </c>
      <c r="G18" s="462"/>
    </row>
    <row r="19" spans="1:7" ht="15.75" customHeight="1" thickTop="1" thickBot="1">
      <c r="A19" s="792" t="str">
        <f>Datos!A19</f>
        <v>TOTAL JURISDICCIONES</v>
      </c>
      <c r="B19" s="807">
        <f>IF(ISNUMBER(NºAsuntos!G19/NºAsuntos!E19),NºAsuntos!G19/NºAsuntos!E19," - ")</f>
        <v>1.0361721611721613</v>
      </c>
      <c r="C19" s="808">
        <f>IF(ISNUMBER(NºAsuntos!I19/NºAsuntos!G19),NºAsuntos!I19/NºAsuntos!G19," - ")</f>
        <v>4.6500220945647373</v>
      </c>
      <c r="D19" s="809">
        <f>IF(ISNUMBER('Resol  Asuntos'!D19/NºAsuntos!G19),'Resol  Asuntos'!D19/NºAsuntos!G19," - ")</f>
        <v>0.22271321254971277</v>
      </c>
      <c r="E19" s="810">
        <f>IF(ISNUMBER((NºAsuntos!C19+NºAsuntos!E19)/NºAsuntos!G19),(NºAsuntos!C19+NºAsuntos!E19)/NºAsuntos!G19," - ")</f>
        <v>5.7613787008395931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bSr8qvQyK/u33+rHvI0p+lW7TWD+dF2V03rUfng8COJnr3pxyOepMurr+SwcUdQsHckaNtNJSogpKGs2bo+tw==" saltValue="MIf073RCy9vBP/noQVH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ROQUETAS DE 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125</v>
      </c>
      <c r="G10" s="332">
        <f>IF(ISNUMBER(Datos!I10),Datos!I10," - ")</f>
        <v>125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118</v>
      </c>
      <c r="AB10" s="333">
        <f>IF(ISNUMBER(Datos!R10),Datos!R10," - ")</f>
        <v>46</v>
      </c>
      <c r="AC10" s="333">
        <f t="shared" ref="AC10:AC12" si="1">IF(ISNUMBER(AA10+AB10),AA10+AB10," - ")</f>
        <v>164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3.3333333333333335</v>
      </c>
      <c r="AM10" s="259">
        <f>IF(ISNUMBER(((NºAsuntos!I10/NºAsuntos!G10)*11)/factor_trimestre),((NºAsuntos!I10/NºAsuntos!G10)*11)/factor_trimestre," - ")</f>
        <v>23.6</v>
      </c>
      <c r="AN10" s="243">
        <f>IF(ISNUMBER('Resol  Asuntos'!D10/NºAsuntos!G10),'Resol  Asuntos'!D10/NºAsuntos!G10," - ")</f>
        <v>0.6</v>
      </c>
      <c r="AO10" s="244">
        <f>IF(ISNUMBER((NºAsuntos!C10+NºAsuntos!E10)/NºAsuntos!G10),(NºAsuntos!C10+NºAsuntos!E10)/NºAsuntos!G10," - ")</f>
        <v>12.8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249</v>
      </c>
      <c r="Y12" s="333">
        <f t="shared" si="0"/>
        <v>249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320</v>
      </c>
      <c r="AJ12" s="228" t="str">
        <f>IF(ISNUMBER(Datos!BW12),Datos!BW12," - ")</f>
        <v xml:space="preserve"> - </v>
      </c>
      <c r="AK12" s="227" t="str">
        <f>IF(ISNUMBER(Datos!BX12),Datos!BX12," - ")</f>
        <v xml:space="preserve"> - </v>
      </c>
      <c r="AL12" s="242">
        <f>IF(ISNUMBER(NºAsuntos!G12/NºAsuntos!E12),NºAsuntos!G12/NºAsuntos!E12," - ")</f>
        <v>1.0638063806380638</v>
      </c>
      <c r="AM12" s="259">
        <f>IF(ISNUMBER(((NºAsuntos!I12/NºAsuntos!G12)*11)/factor_trimestre),((NºAsuntos!I12/NºAsuntos!G12)*11)/factor_trimestre," - ")</f>
        <v>15.10651499482937</v>
      </c>
      <c r="AN12" s="243">
        <f>IF(ISNUMBER('Resol  Asuntos'!D12/NºAsuntos!G12),'Resol  Asuntos'!D12/NºAsuntos!G12," - ")</f>
        <v>0.33092037228541882</v>
      </c>
      <c r="AO12" s="244">
        <f>IF(ISNUMBER((NºAsuntos!C12+NºAsuntos!E12)/NºAsuntos!G12),(NºAsuntos!C12+NºAsuntos!E12)/NºAsuntos!G12," - ")</f>
        <v>8.8179937952430194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125</v>
      </c>
      <c r="G13" s="865">
        <f t="shared" si="3"/>
        <v>125</v>
      </c>
      <c r="H13" s="864">
        <f t="shared" si="3"/>
        <v>0</v>
      </c>
      <c r="I13" s="866">
        <f t="shared" si="3"/>
        <v>0</v>
      </c>
      <c r="J13" s="866">
        <f t="shared" si="3"/>
        <v>0</v>
      </c>
      <c r="K13" s="866">
        <f t="shared" si="3"/>
        <v>0</v>
      </c>
      <c r="L13" s="866">
        <f t="shared" si="3"/>
        <v>376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249</v>
      </c>
      <c r="Y13" s="867">
        <f t="shared" si="4"/>
        <v>259</v>
      </c>
      <c r="Z13" s="867">
        <f t="shared" si="4"/>
        <v>0</v>
      </c>
      <c r="AA13" s="867">
        <f t="shared" si="4"/>
        <v>118</v>
      </c>
      <c r="AB13" s="867">
        <f t="shared" si="4"/>
        <v>8961</v>
      </c>
      <c r="AC13" s="867">
        <f t="shared" si="4"/>
        <v>164</v>
      </c>
      <c r="AD13" s="867">
        <f t="shared" si="4"/>
        <v>0</v>
      </c>
      <c r="AE13" s="871">
        <f t="shared" si="4"/>
        <v>0</v>
      </c>
      <c r="AF13" s="864">
        <f t="shared" si="4"/>
        <v>0</v>
      </c>
      <c r="AG13" s="872">
        <f t="shared" si="4"/>
        <v>0</v>
      </c>
      <c r="AH13" s="869">
        <f t="shared" si="4"/>
        <v>0</v>
      </c>
      <c r="AI13" s="864">
        <f t="shared" si="4"/>
        <v>326</v>
      </c>
      <c r="AJ13" s="866">
        <f t="shared" si="4"/>
        <v>0</v>
      </c>
      <c r="AK13" s="869">
        <f>SUBTOTAL(9,AK9:AK12)</f>
        <v>0</v>
      </c>
      <c r="AL13" s="873">
        <f>IF(ISNUMBER(NºAsuntos!G13/NºAsuntos!E13),NºAsuntos!G13/NºAsuntos!E13," - ")</f>
        <v>1.0712719298245614</v>
      </c>
      <c r="AM13" s="873">
        <f>IF(ISNUMBER(((NºAsuntos!I13/NºAsuntos!G13)*11)/factor_trimestre),((NºAsuntos!I13/NºAsuntos!G13)*11)/factor_trimestre," - ")</f>
        <v>15.193449334698055</v>
      </c>
      <c r="AN13" s="874">
        <f>IF(ISNUMBER('Resol  Asuntos'!D13/NºAsuntos!G13),'Resol  Asuntos'!D13/NºAsuntos!G13," - ")</f>
        <v>0.3336745138178096</v>
      </c>
      <c r="AO13" s="875">
        <f>IF(ISNUMBER((NºAsuntos!C13+NºAsuntos!E13)/NºAsuntos!G13),(NºAsuntos!C13+NºAsuntos!E13)/NºAsuntos!G13," - ")</f>
        <v>8.8587512794268175</v>
      </c>
      <c r="AP13" s="876" t="str">
        <f t="shared" si="2"/>
        <v xml:space="preserve"> - </v>
      </c>
      <c r="AQ13" s="876">
        <f>IF(ISNUMBER((H13-W13+K13)/(F13)),(H13-W13+K13)/(F13)," - ")</f>
        <v>-0.08</v>
      </c>
      <c r="AR13" s="877">
        <f>IF(ISNUMBER((Datos!P13-Datos!Q13)/(Datos!R13-Datos!P13+Datos!Q13)),(Datos!P13-Datos!Q13)/(Datos!R13-Datos!P13+Datos!Q13)," - ")</f>
        <v>1.4376273488793299E-2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3031</v>
      </c>
      <c r="G16" s="332">
        <f>IF(ISNUMBER(IF(D_I="SI",Datos!I16,Datos!I16+Datos!AC16)),IF(D_I="SI",Datos!I16,Datos!I16+Datos!AC16)," - ")</f>
        <v>3027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1270</v>
      </c>
      <c r="X16" s="225">
        <f>IF(ISNUMBER(Datos!Q16),Datos!Q16," - ")</f>
        <v>87</v>
      </c>
      <c r="Y16" s="333">
        <f t="shared" ref="Y16:Y17" si="7">SUM(W16:X16)</f>
        <v>1357</v>
      </c>
      <c r="Z16" s="334" t="str">
        <f>IF(ISNUMBER(Datos!CC16),Datos!CC16," - ")</f>
        <v xml:space="preserve"> - </v>
      </c>
      <c r="AA16" s="331">
        <f>IF(ISNUMBER(IF(D_I="SI",Datos!L16,Datos!L16+Datos!AF16)),IF(D_I="SI",Datos!L16,Datos!L16+Datos!AF16)," - ")</f>
        <v>3032</v>
      </c>
      <c r="AB16" s="333">
        <f>IF(ISNUMBER(Datos!R16),Datos!R16," - ")</f>
        <v>218</v>
      </c>
      <c r="AC16" s="333">
        <f t="shared" si="6"/>
        <v>3250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178</v>
      </c>
      <c r="AJ16" s="230" t="str">
        <f>IF(ISNUMBER(Datos!BW16),Datos!BW16," - ")</f>
        <v xml:space="preserve"> - </v>
      </c>
      <c r="AK16" s="231" t="str">
        <f>IF(ISNUMBER(Datos!BX16),Datos!BX16," - ")</f>
        <v xml:space="preserve"> - </v>
      </c>
      <c r="AL16" s="242">
        <f>IF(ISNUMBER(NºAsuntos!G16/NºAsuntos!E16),NºAsuntos!G16/NºAsuntos!E16," - ")</f>
        <v>0.99921321793863105</v>
      </c>
      <c r="AM16" s="259">
        <f>IF(ISNUMBER(((NºAsuntos!I16/NºAsuntos!G16)*11)/factor_trimestre),((NºAsuntos!I16/NºAsuntos!G16)*11)/factor_trimestre," - ")</f>
        <v>4.7748031496062993</v>
      </c>
      <c r="AN16" s="243">
        <f>IF(ISNUMBER('Resol  Asuntos'!D16/NºAsuntos!G16),'Resol  Asuntos'!D16/NºAsuntos!G16," - ")</f>
        <v>0.14015748031496064</v>
      </c>
      <c r="AO16" s="244">
        <f>IF(ISNUMBER((NºAsuntos!C16+NºAsuntos!E16)/NºAsuntos!G16),(NºAsuntos!C16+NºAsuntos!E16)/NºAsuntos!G16," - ")</f>
        <v>3.3842519685039369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69</v>
      </c>
      <c r="AB17" s="333">
        <f>IF(ISNUMBER(Datos!R17),Datos!R17," - ")</f>
        <v>0</v>
      </c>
      <c r="AC17" s="333">
        <f t="shared" si="6"/>
        <v>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16</v>
      </c>
      <c r="AM17" s="259">
        <f>IF(ISNUMBER(((NºAsuntos!I17/NºAsuntos!G17)*11)/factor_trimestre),((NºAsuntos!I17/NºAsuntos!G17)*11)/factor_trimestre," - ")</f>
        <v>8.625</v>
      </c>
      <c r="AN17" s="243">
        <f>IF(ISNUMBER('Resol  Asuntos'!D17/NºAsuntos!G17),'Resol  Asuntos'!D17/NºAsuntos!G17," - ")</f>
        <v>0</v>
      </c>
      <c r="AO17" s="244">
        <f>IF(ISNUMBER((NºAsuntos!C17+NºAsuntos!E17)/NºAsuntos!G17),(NºAsuntos!C17+NºAsuntos!E17)/NºAsuntos!G17," - ")</f>
        <v>5.3125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3031</v>
      </c>
      <c r="G18" s="865">
        <f>SUBTOTAL(9,G15:G17)</f>
        <v>3111</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1286</v>
      </c>
      <c r="X18" s="866">
        <f t="shared" si="11"/>
        <v>87</v>
      </c>
      <c r="Y18" s="867">
        <f t="shared" si="11"/>
        <v>1373</v>
      </c>
      <c r="Z18" s="867">
        <f t="shared" si="11"/>
        <v>0</v>
      </c>
      <c r="AA18" s="867">
        <f t="shared" si="11"/>
        <v>3101</v>
      </c>
      <c r="AB18" s="867">
        <f t="shared" si="11"/>
        <v>218</v>
      </c>
      <c r="AC18" s="867">
        <f t="shared" si="11"/>
        <v>3319</v>
      </c>
      <c r="AD18" s="867">
        <f t="shared" si="11"/>
        <v>0</v>
      </c>
      <c r="AE18" s="871">
        <f t="shared" si="11"/>
        <v>0</v>
      </c>
      <c r="AF18" s="864">
        <f t="shared" si="11"/>
        <v>0</v>
      </c>
      <c r="AG18" s="872">
        <f t="shared" si="11"/>
        <v>0</v>
      </c>
      <c r="AH18" s="869">
        <f t="shared" si="11"/>
        <v>0</v>
      </c>
      <c r="AI18" s="864">
        <f t="shared" si="11"/>
        <v>178</v>
      </c>
      <c r="AJ18" s="866">
        <f t="shared" si="11"/>
        <v>0</v>
      </c>
      <c r="AK18" s="869">
        <f t="shared" si="11"/>
        <v>0</v>
      </c>
      <c r="AL18" s="873">
        <f>IF(ISNUMBER(NºAsuntos!G18/NºAsuntos!E18),NºAsuntos!G18/NºAsuntos!E18," - ")</f>
        <v>1.0110062893081762</v>
      </c>
      <c r="AM18" s="873">
        <f>IF(ISNUMBER(((NºAsuntos!I18/NºAsuntos!G18)*11)/factor_trimestre),((NºAsuntos!I18/NºAsuntos!G18)*11)/factor_trimestre," - ")</f>
        <v>4.8227060653188181</v>
      </c>
      <c r="AN18" s="874">
        <f>IF(ISNUMBER('Resol  Asuntos'!D18/NºAsuntos!G18),'Resol  Asuntos'!D18/NºAsuntos!G18," - ")</f>
        <v>0.13841368584758942</v>
      </c>
      <c r="AO18" s="875">
        <f>IF(ISNUMBER((NºAsuntos!C18+NºAsuntos!E18)/NºAsuntos!G18),(NºAsuntos!C18+NºAsuntos!E18)/NºAsuntos!G18," - ")</f>
        <v>3.4082426127527214</v>
      </c>
      <c r="AP18" s="876" t="str">
        <f t="shared" si="2"/>
        <v xml:space="preserve"> - </v>
      </c>
      <c r="AQ18" s="876">
        <f>IF(ISNUMBER((H18-W18+K18)/(F18)),(H18-W18+K18)/(F18)," - ")</f>
        <v>-0.42428241504453973</v>
      </c>
      <c r="AR18" s="877">
        <f>IF(ISNUMBER((Datos!P18-Datos!Q18)/(Datos!R18-Datos!P18+Datos!Q18)),(Datos!P18-Datos!Q18)/(Datos!R18-Datos!P18+Datos!Q18)," - ")</f>
        <v>-0.21014492753623187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3156</v>
      </c>
      <c r="G19" s="820">
        <f t="shared" si="13"/>
        <v>3236</v>
      </c>
      <c r="H19" s="819">
        <f t="shared" si="13"/>
        <v>0</v>
      </c>
      <c r="I19" s="821">
        <f t="shared" si="13"/>
        <v>0</v>
      </c>
      <c r="J19" s="821">
        <f t="shared" si="13"/>
        <v>0</v>
      </c>
      <c r="K19" s="880">
        <f t="shared" si="13"/>
        <v>0</v>
      </c>
      <c r="L19" s="821">
        <f t="shared" si="13"/>
        <v>405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1296</v>
      </c>
      <c r="X19" s="820">
        <f t="shared" si="14"/>
        <v>336</v>
      </c>
      <c r="Y19" s="827">
        <f t="shared" si="14"/>
        <v>1632</v>
      </c>
      <c r="Z19" s="827">
        <f t="shared" si="14"/>
        <v>0</v>
      </c>
      <c r="AA19" s="827">
        <f t="shared" si="14"/>
        <v>3219</v>
      </c>
      <c r="AB19" s="827">
        <f t="shared" si="14"/>
        <v>9179</v>
      </c>
      <c r="AC19" s="827">
        <f t="shared" si="14"/>
        <v>3483</v>
      </c>
      <c r="AD19" s="827">
        <f t="shared" si="14"/>
        <v>0</v>
      </c>
      <c r="AE19" s="829">
        <f t="shared" si="14"/>
        <v>0</v>
      </c>
      <c r="AF19" s="830">
        <f t="shared" si="14"/>
        <v>0</v>
      </c>
      <c r="AG19" s="831">
        <f t="shared" si="14"/>
        <v>0</v>
      </c>
      <c r="AH19" s="829">
        <f t="shared" si="14"/>
        <v>0</v>
      </c>
      <c r="AI19" s="819">
        <f t="shared" si="14"/>
        <v>504</v>
      </c>
      <c r="AJ19" s="819">
        <f t="shared" si="14"/>
        <v>0</v>
      </c>
      <c r="AK19" s="829">
        <f t="shared" si="14"/>
        <v>0</v>
      </c>
      <c r="AL19" s="883">
        <f>IF(ISNUMBER(NºAsuntos!G19/NºAsuntos!E19),NºAsuntos!G19/NºAsuntos!E19," - ")</f>
        <v>1.0361721611721613</v>
      </c>
      <c r="AM19" s="884">
        <f>IF(ISNUMBER(((NºAsuntos!I19/NºAsuntos!G19)*11)/factor_trimestre),((NºAsuntos!I19/NºAsuntos!G19)*11)/factor_trimestre," - ")</f>
        <v>9.3000441891294745</v>
      </c>
      <c r="AN19" s="884">
        <f>IF(ISNUMBER('Resol  Asuntos'!D19/NºAsuntos!G19),'Resol  Asuntos'!D19/NºAsuntos!G19," - ")</f>
        <v>0.22271321254971277</v>
      </c>
      <c r="AO19" s="885">
        <f>IF(ISNUMBER((NºAsuntos!C19+NºAsuntos!E19)/NºAsuntos!G19),(NºAsuntos!C19+NºAsuntos!E19)/NºAsuntos!G19," - ")</f>
        <v>5.7613787008395931</v>
      </c>
      <c r="AP19" s="886" t="str">
        <f t="shared" si="2"/>
        <v xml:space="preserve"> - </v>
      </c>
      <c r="AQ19" s="887">
        <f>IF(OR(ISNUMBER(FIND("01",Criterios!A8,1)),ISNUMBER(FIND("02",Criterios!A8,1)),ISNUMBER(FIND("03",Criterios!A8,1)),ISNUMBER(FIND("04",Criterios!A8,1))),(I19-W19+K19)/(F19-K19),(H19-W19+K19)/(F19-K19))</f>
        <v>-0.41064638783269963</v>
      </c>
      <c r="AR19" s="888">
        <f>IF(ISNUMBER((Datos!P19-Datos!Q19)/(Datos!R19-Datos!P19+Datos!Q19)),(Datos!P19-Datos!Q19)/(Datos!R19-Datos!P19+Datos!Q19)," - ")</f>
        <v>7.5740944017563113E-3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1294.4000000000001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1677.7798822650525</v>
      </c>
      <c r="G21" s="252">
        <f>IF(ISNUMBER(STDEV(G8:G18)),STDEV(G8:G18),"-")</f>
        <v>1620.3394088893845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693.44415780940858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143.3429454141361</v>
      </c>
      <c r="AJ21" s="251">
        <f t="shared" si="18"/>
        <v>0</v>
      </c>
      <c r="AK21" s="253">
        <f t="shared" si="18"/>
        <v>0</v>
      </c>
      <c r="AL21" s="248">
        <f t="shared" si="18"/>
        <v>5.9922721231883118</v>
      </c>
      <c r="AM21" s="249">
        <f t="shared" si="18"/>
        <v>7.3418484982546302</v>
      </c>
      <c r="AN21" s="249">
        <f t="shared" si="18"/>
        <v>0.21107148751341778</v>
      </c>
      <c r="AO21" s="250">
        <f t="shared" si="18"/>
        <v>3.7192920148834738</v>
      </c>
      <c r="AP21" s="290" t="str">
        <f t="shared" si="18"/>
        <v>-</v>
      </c>
      <c r="AQ21" s="291">
        <f t="shared" si="18"/>
        <v>0.24344443032127547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sIAXI/NYDMzZGB+Lz/o2PovAVBJXHfY1sDUDgKdJ5SN6Yjio23v0w0ZiK9h81Px+E2OcV8GxvFv+4A6oZEKCg==" saltValue="ZxLFJWLHqJML3DgkEdXL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ROQUETAS DE MAR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-0.37185929648241206</v>
      </c>
      <c r="E10" s="347">
        <f>IF(ISNUMBER((Datos!J10-Datos!T10)/Datos!T10),(Datos!J10-Datos!T10)/Datos!T10," - ")</f>
        <v>-0.75</v>
      </c>
      <c r="F10" s="347">
        <f>IF(ISNUMBER((Datos!K10-Datos!U10)/Datos!U10),(Datos!K10-Datos!U10)/Datos!U10," - ")</f>
        <v>-0.66666666666666663</v>
      </c>
      <c r="G10" s="348">
        <f>IF(ISNUMBER((Datos!L10-Datos!V10)/Datos!V10),(Datos!L10-Datos!V10)/Datos!V10," - ")</f>
        <v>-0.34806629834254144</v>
      </c>
      <c r="H10" s="229">
        <f>IF(ISNUMBER((Datos!M10-Datos!W10)/Datos!W10),(Datos!M10-Datos!W10)/Datos!W10," - ")</f>
        <v>-0.53846153846153844</v>
      </c>
      <c r="I10" s="349">
        <f>IF(ISNUMBER((Tasas!C10-Datos!BE10)/Datos!BE10),(Tasas!C10-Datos!BE10)/Datos!BE10," - ")</f>
        <v>0.9558011049723758</v>
      </c>
      <c r="J10" s="348">
        <f>IF(ISNUMBER((Tasas!D10-Datos!BF10)/Datos!BF10),(Tasas!D10-Datos!BF10)/Datos!BF10," - ")</f>
        <v>0.38461538461538453</v>
      </c>
      <c r="K10" s="350">
        <f>IF(ISNUMBER((Tasas!E10-Datos!BG10)/Datos!BG10),(Tasas!E10-Datos!BG10)/Datos!BG10," - ")</f>
        <v>0.81990521327014232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4.2345276872964167E-2</v>
      </c>
      <c r="I12" s="349">
        <f>IF(ISNUMBER((Tasas!C12-Datos!BE12)/Datos!BE12),(Tasas!C12-Datos!BE12)/Datos!BE12," - ")</f>
        <v>0.75561506575947934</v>
      </c>
      <c r="J12" s="348">
        <f>IF(ISNUMBER((Tasas!D12-Datos!BF12)/Datos!BF12),(Tasas!D12-Datos!BF12)/Datos!BF12," - ")</f>
        <v>-0.21110431319043269</v>
      </c>
      <c r="K12" s="350">
        <f>IF(ISNUMBER((Tasas!E12-Datos!BG12)/Datos!BG12),(Tasas!E12-Datos!BG12)/Datos!BG12," - ")</f>
        <v>0.66303734975865869</v>
      </c>
      <c r="M12" t="e">
        <f>IF(Monitorios="SI",Datos!CE12,0)</f>
        <v>#REF!</v>
      </c>
      <c r="N12" t="e">
        <f>IF(Monitorios="SI",Datos!CF12,0)</f>
        <v>#REF!</v>
      </c>
      <c r="O12" t="e">
        <f>IF(Monitorios="SI",Datos!CG12,0)</f>
        <v>#REF!</v>
      </c>
      <c r="P12" t="e">
        <f>IF(Monitorios="SI",Datos!CH12,0)</f>
        <v>#REF!</v>
      </c>
      <c r="Q12">
        <f>IF(J_V="SI",0,Datos!AG12)</f>
        <v>96</v>
      </c>
      <c r="R12">
        <f>IF(J_V="SI",0,Datos!AH12)</f>
        <v>26</v>
      </c>
      <c r="S12">
        <f>IF(J_V="SI",0,Datos!AI12)</f>
        <v>28</v>
      </c>
      <c r="T12">
        <f>IF(J_V="SI",0,Datos!AJ12)</f>
        <v>94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1.8749999999999999E-2</v>
      </c>
      <c r="I13" s="356">
        <f>IF(ISNUMBER((Tasas!C13-Datos!BE13)/Datos!BE13),(Tasas!C13-Datos!BE13)/Datos!BE13," - ")</f>
        <v>0.7505823102705913</v>
      </c>
      <c r="J13" s="354">
        <f>IF(ISNUMBER((Tasas!D13-Datos!BF13)/Datos!BF13),(Tasas!D13-Datos!BF13)/Datos!BF13," - ")</f>
        <v>-0.20510303534187335</v>
      </c>
      <c r="K13" s="357">
        <f>IF(ISNUMBER((Tasas!E13-Datos!BG13)/Datos!BG13),(Tasas!E13-Datos!BG13)/Datos!BG13," - ")</f>
        <v>0.65908462383684419</v>
      </c>
      <c r="M13" t="e">
        <f>IF(Monitorios="SI",Datos!CE13,0)</f>
        <v>#REF!</v>
      </c>
      <c r="N13" t="e">
        <f>IF(Monitorios="SI",Datos!CF13,0)</f>
        <v>#REF!</v>
      </c>
      <c r="O13" t="e">
        <f>IF(Monitorios="SI",Datos!CG13,0)</f>
        <v>#REF!</v>
      </c>
      <c r="P13" t="e">
        <f>IF(Monitorios="SI",Datos!CH13,0)</f>
        <v>#REF!</v>
      </c>
      <c r="Q13">
        <f>IF(J_V="SI",0,Datos!AG13)</f>
        <v>96</v>
      </c>
      <c r="R13">
        <f>IF(J_V="SI",0,Datos!AH13)</f>
        <v>26</v>
      </c>
      <c r="S13">
        <f>IF(J_V="SI",0,Datos!AI13)</f>
        <v>28</v>
      </c>
      <c r="T13">
        <f>IF(J_V="SI",0,Datos!AJ13)</f>
        <v>94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0.23399918467183042</v>
      </c>
      <c r="E16" s="347">
        <f>IF(ISNUMBER(
   IF(D_I="SI",(Datos!J16-Datos!T16)/Datos!T16,(Datos!J16+Datos!AD16-(Datos!T16+Datos!AL16))/(Datos!T16+Datos!AL16))
     ),IF(D_I="SI",(Datos!J16-Datos!T16)/Datos!T16,(Datos!J16+Datos!AD16-(Datos!T16+Datos!AL16))/(Datos!T16+Datos!AL16))," - ")</f>
        <v>-9.472934472934473E-2</v>
      </c>
      <c r="F16" s="347">
        <f>IF(ISNUMBER(
   IF(D_I="SI",(Datos!K16-Datos!U16)/Datos!U16,(Datos!K16+Datos!AE16-(Datos!U16+Datos!AM16))/(Datos!U16+Datos!AM16))
     ),IF(D_I="SI",(Datos!K16-Datos!U16)/Datos!U16,(Datos!K16+Datos!AE16-(Datos!U16+Datos!AM16))/(Datos!U16+Datos!AM16))," - ")</f>
        <v>2.3368251410153102E-2</v>
      </c>
      <c r="G16" s="348">
        <f>IF(ISNUMBER(
   IF(D_I="SI",(Datos!L16-Datos!V16)/Datos!V16,(Datos!L16+Datos!AF16-(Datos!V16+Datos!AN16))/(Datos!V16+Datos!AN16))
     ),IF(D_I="SI",(Datos!L16-Datos!V16)/Datos!V16,(Datos!L16+Datos!AF16-(Datos!V16+Datos!AN16))/(Datos!V16+Datos!AN16))," - ")</f>
        <v>0.15857852502865877</v>
      </c>
      <c r="H16" s="229">
        <f>IF(ISNUMBER((Datos!M16-Datos!W16)/Datos!W16),(Datos!M16-Datos!W16)/Datos!W16," - ")</f>
        <v>-8.247422680412371E-2</v>
      </c>
      <c r="I16" s="349">
        <f>IF(ISNUMBER((Tasas!C16-Datos!BE16)/Datos!BE16),(Tasas!C16-Datos!BE16)/Datos!BE16," - ")</f>
        <v>0.13212279492957918</v>
      </c>
      <c r="J16" s="348">
        <f>IF(ISNUMBER((Tasas!D16-Datos!BF16)/Datos!BF16),(Tasas!D16-Datos!BF16)/Datos!BF16," - ")</f>
        <v>-0.10342560272749396</v>
      </c>
      <c r="K16" s="350">
        <f>IF(ISNUMBER((Tasas!E16-Datos!BG16)/Datos!BG16),(Tasas!E16-Datos!BG16)/Datos!BG16," - ")</f>
        <v>8.8892064535490214E-2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-0.58823529411764708</v>
      </c>
      <c r="E17" s="347">
        <f>IF(ISNUMBER(
   IF(D_I="SI",(Datos!J17-Datos!T17)/Datos!T17,(Datos!J17+Datos!AD17-(Datos!T17+Datos!AL17))/(Datos!T17+Datos!AL17))
     ),IF(D_I="SI",(Datos!J17-Datos!T17)/Datos!T17,(Datos!J17+Datos!AD17-(Datos!T17+Datos!AL17))/(Datos!T17+Datos!AL17))," - ")</f>
        <v>-0.9375</v>
      </c>
      <c r="F17" s="347">
        <f>IF(ISNUMBER(
   IF(D_I="SI",(Datos!K17-Datos!U17)/Datos!U17,(Datos!K17+Datos!AE17-(Datos!U17+Datos!AM17))/(Datos!U17+Datos!AM17))
     ),IF(D_I="SI",(Datos!K17-Datos!U17)/Datos!U17,(Datos!K17+Datos!AE17-(Datos!U17+Datos!AM17))/(Datos!U17+Datos!AM17))," - ")</f>
        <v>-0.66666666666666663</v>
      </c>
      <c r="G17" s="348">
        <f>IF(ISNUMBER(
   IF(D_I="SI",(Datos!L17-Datos!V17)/Datos!V17,(Datos!L17+Datos!AF17-(Datos!V17+Datos!AN17))/(Datos!V17+Datos!AN17))
     ),IF(D_I="SI",(Datos!L17-Datos!V17)/Datos!V17,(Datos!L17+Datos!AF17-(Datos!V17+Datos!AN17))/(Datos!V17+Datos!AN17))," - ")</f>
        <v>-0.59883720930232553</v>
      </c>
      <c r="H17" s="229" t="str">
        <f>IF(ISNUMBER((Datos!M17-Datos!W17)/Datos!W17),(Datos!M17-Datos!W17)/Datos!W17," - ")</f>
        <v xml:space="preserve"> - </v>
      </c>
      <c r="I17" s="349">
        <f>IF(ISNUMBER((Tasas!C17-Datos!BE17)/Datos!BE17),(Tasas!C17-Datos!BE17)/Datos!BE17," - ")</f>
        <v>0.2034883720930232</v>
      </c>
      <c r="J17" s="348" t="str">
        <f>IF(ISNUMBER((Tasas!D17-Datos!BF17)/Datos!BF17),(Tasas!D17-Datos!BF17)/Datos!BF17," - ")</f>
        <v xml:space="preserve"> - </v>
      </c>
      <c r="K17" s="350">
        <f>IF(ISNUMBER((Tasas!E17-Datos!BG17)/Datos!BG17),(Tasas!E17-Datos!BG17)/Datos!BG17," - ")</f>
        <v>0.15909090909090917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0.17086940158073013</v>
      </c>
      <c r="E18" s="353">
        <f>IF(ISNUMBER(
   IF(D_I="SI",(Datos!J18-Datos!T18)/Datos!T18,(Datos!J18+Datos!AD18-(Datos!T18+Datos!AL18))/(Datos!T18+Datos!AL18))
     ),IF(D_I="SI",(Datos!J18-Datos!T18)/Datos!T18,(Datos!J18+Datos!AD18-(Datos!T18+Datos!AL18))/(Datos!T18+Datos!AL18))," - ")</f>
        <v>-0.10422535211267606</v>
      </c>
      <c r="F18" s="353">
        <f>IF(ISNUMBER(
   IF(D_I="SI",(Datos!K18-Datos!U18)/Datos!U18,(Datos!K18+Datos!AE18-(Datos!U18+Datos!AM18))/(Datos!U18+Datos!AM18))
     ),IF(D_I="SI",(Datos!K18-Datos!U18)/Datos!U18,(Datos!K18+Datos!AE18-(Datos!U18+Datos!AM18))/(Datos!U18+Datos!AM18))," - ")</f>
        <v>-2.3273855702094647E-3</v>
      </c>
      <c r="G18" s="354">
        <f>IF(ISNUMBER(
   IF(D_I="SI",(Datos!L18-Datos!V18)/Datos!V18,(Datos!L18+Datos!AF18-(Datos!V18+Datos!AN18))/(Datos!V18+Datos!AN18))
     ),IF(D_I="SI",(Datos!L18-Datos!V18)/Datos!V18,(Datos!L18+Datos!AF18-(Datos!V18+Datos!AN18))/(Datos!V18+Datos!AN18))," - ")</f>
        <v>0.11186805306561491</v>
      </c>
      <c r="H18" s="355">
        <f>IF(ISNUMBER((Datos!M18-Datos!W18)/Datos!W18),(Datos!M18-Datos!W18)/Datos!W18," - ")</f>
        <v>-8.247422680412371E-2</v>
      </c>
      <c r="I18" s="356">
        <f>IF(ISNUMBER((Tasas!C18-Datos!BE18)/Datos!BE18),(Tasas!C18-Datos!BE18)/Datos!BE18," - ")</f>
        <v>0.11446183546001364</v>
      </c>
      <c r="J18" s="354">
        <f>IF(ISNUMBER((Tasas!D18-Datos!BF18)/Datos!BF18),(Tasas!D18-Datos!BF18)/Datos!BF18," - ")</f>
        <v>-8.0333808981738239E-2</v>
      </c>
      <c r="K18" s="357">
        <f>IF(ISNUMBER((Tasas!E18-Datos!BG18)/Datos!BG18),(Tasas!E18-Datos!BG18)/Datos!BG18," - ")</f>
        <v>7.7563092430281491E-2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0.24501032346868548</v>
      </c>
      <c r="E19" s="362">
        <f>IF(ISNUMBER(
   IF(J_V="SI",(Datos!J19-Datos!T19)/Datos!T19,(Datos!J19+Datos!Z19-(Datos!T19+Datos!AH19))/(Datos!T19+Datos!AH19))
     ),IF(J_V="SI",(Datos!J19-Datos!T19)/Datos!T19,(Datos!J19+Datos!Z19-(Datos!T19+Datos!AH19))/(Datos!T19+Datos!AH19))," - ")</f>
        <v>-0.22360469249911127</v>
      </c>
      <c r="F19" s="362">
        <f>IF(ISNUMBER(
   IF(J_V="SI",(Datos!K19-Datos!U19)/Datos!U19,(Datos!K19+Datos!AA19-(Datos!U19+Datos!AI19))/(Datos!U19+Datos!AI19))
     ),IF(J_V="SI",(Datos!K19-Datos!U19)/Datos!U19,(Datos!K19+Datos!AA19-(Datos!U19+Datos!AI19))/(Datos!U19+Datos!AI19))," - ")</f>
        <v>-0.15716945996275605</v>
      </c>
      <c r="G19" s="363">
        <f>IF(ISNUMBER(
   IF(J_V="SI",(Datos!L19-Datos!V19)/Datos!V19,(Datos!L19+Datos!AB19-(Datos!V19+Datos!AJ19))/(Datos!V19+Datos!AJ19))
     ),IF(J_V="SI",(Datos!L19-Datos!V19)/Datos!V19,(Datos!L19+Datos!AB19-(Datos!V19+Datos!AJ19))/(Datos!V19+Datos!AJ19))," - ")</f>
        <v>0.18944274895444785</v>
      </c>
      <c r="H19" s="364">
        <f>IF(ISNUMBER((Datos!M19-Datos!W19)/Datos!W19),(Datos!M19-Datos!W19)/Datos!W19," - ")</f>
        <v>-1.9455252918287938E-2</v>
      </c>
      <c r="I19" s="361">
        <f>IF(ISNUMBER((Tasas!C19-Datos!BE19)/Datos!BE19),(Tasas!C19-Datos!BE19)/Datos!BE19," - ")</f>
        <v>0.41124780421683271</v>
      </c>
      <c r="J19" s="362">
        <f>IF(ISNUMBER((Tasas!D19-Datos!BF19)/Datos!BF19),(Tasas!D19-Datos!BF19)/Datos!BF19," - ")</f>
        <v>-0.23335259526156574</v>
      </c>
      <c r="K19" s="363">
        <f>IF(ISNUMBER((Tasas!E19-Datos!BG19)/Datos!BG19),(Tasas!E19-Datos!BG19)/Datos!BG19," - ")</f>
        <v>0.34154035311372016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0.40463279216007908</v>
      </c>
      <c r="E21" s="277">
        <f t="shared" si="1"/>
        <v>0.43648787381649456</v>
      </c>
      <c r="F21" s="277">
        <f t="shared" si="1"/>
        <v>0.39111485982444122</v>
      </c>
      <c r="G21" s="278">
        <f t="shared" si="1"/>
        <v>0.36652388134998715</v>
      </c>
      <c r="H21" s="284">
        <f t="shared" si="1"/>
        <v>0.23620746753543595</v>
      </c>
      <c r="I21" s="276">
        <f t="shared" si="1"/>
        <v>0.37589602086207846</v>
      </c>
      <c r="J21" s="277">
        <f t="shared" si="1"/>
        <v>0.24618916172586613</v>
      </c>
      <c r="K21" s="278">
        <f t="shared" si="1"/>
        <v>0.33783538911068944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iBDPEih95oDKI+QS7o4HdsoOtA8Qm/owBwTY3XrI+HWyruOfrRXPIftlTIkXQNa2aeA2mWkzE1B2M6d8GPJyw==" saltValue="3VueyBGseWaSokhft7D1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